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etleva.sheshi\OneDrive - AKSHI Azure AD\Desktop\Moshimi\"/>
    </mc:Choice>
  </mc:AlternateContent>
  <xr:revisionPtr revIDLastSave="0" documentId="8_{65301394-17E1-4AEC-B508-808B562569E0}" xr6:coauthVersionLast="47" xr6:coauthVersionMax="47" xr10:uidLastSave="{00000000-0000-0000-0000-000000000000}"/>
  <workbookProtection lockStructure="1"/>
  <bookViews>
    <workbookView xWindow="0" yWindow="1950" windowWidth="28800" windowHeight="11385" xr2:uid="{00000000-000D-0000-FFFF-FFFF00000000}"/>
  </bookViews>
  <sheets>
    <sheet name="Tabela permbledhese" sheetId="3" r:id="rId1"/>
    <sheet name="Politika 1" sheetId="1" r:id="rId2"/>
    <sheet name="Politika 2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18" i="1" l="1"/>
  <c r="BB18" i="1"/>
  <c r="AR18" i="1"/>
  <c r="AH18" i="1"/>
  <c r="X18" i="1"/>
  <c r="BQ22" i="1"/>
  <c r="BG22" i="1"/>
  <c r="AW22" i="1"/>
  <c r="Z22" i="1"/>
  <c r="AC22" i="1"/>
  <c r="AG15" i="1"/>
  <c r="S22" i="1"/>
  <c r="N22" i="1"/>
  <c r="P22" i="1"/>
  <c r="O9" i="1"/>
  <c r="BR17" i="2" l="1"/>
  <c r="BP17" i="2"/>
  <c r="BN17" i="2"/>
  <c r="BO17" i="2" s="1"/>
  <c r="BS17" i="2" s="1"/>
  <c r="BH17" i="2"/>
  <c r="BF17" i="2"/>
  <c r="BD17" i="2"/>
  <c r="BE17" i="2" s="1"/>
  <c r="BI17" i="2" s="1"/>
  <c r="AX17" i="2"/>
  <c r="AV17" i="2"/>
  <c r="AT17" i="2"/>
  <c r="AU17" i="2" s="1"/>
  <c r="AN17" i="2"/>
  <c r="AL17" i="2"/>
  <c r="AJ17" i="2"/>
  <c r="AK17" i="2" s="1"/>
  <c r="AD17" i="2"/>
  <c r="AB17" i="2"/>
  <c r="Z17" i="2"/>
  <c r="AA17" i="2" s="1"/>
  <c r="AE17" i="2" s="1"/>
  <c r="P17" i="2"/>
  <c r="AI21" i="1"/>
  <c r="Y21" i="1"/>
  <c r="O21" i="1"/>
  <c r="BN21" i="1"/>
  <c r="BD21" i="1"/>
  <c r="AT21" i="1"/>
  <c r="AJ21" i="1"/>
  <c r="Z21" i="1"/>
  <c r="AO17" i="2" l="1"/>
  <c r="AY17" i="2"/>
  <c r="AH20" i="1"/>
  <c r="X20" i="1"/>
  <c r="N20" i="1"/>
  <c r="W20" i="1"/>
  <c r="AG20" i="1" s="1"/>
  <c r="AQ20" i="1" s="1"/>
  <c r="Y20" i="1"/>
  <c r="BM19" i="1"/>
  <c r="BC19" i="1"/>
  <c r="AS19" i="1"/>
  <c r="AI19" i="1"/>
  <c r="W19" i="1"/>
  <c r="AB19" i="1" s="1"/>
  <c r="Y19" i="1"/>
  <c r="AI20" i="1"/>
  <c r="AS20" i="1"/>
  <c r="O19" i="1"/>
  <c r="AR19" i="1"/>
  <c r="BB19" i="1" s="1"/>
  <c r="X19" i="1"/>
  <c r="N19" i="1"/>
  <c r="R19" i="1" s="1"/>
  <c r="AJ19" i="1"/>
  <c r="AT19" i="1" s="1"/>
  <c r="BD19" i="1" s="1"/>
  <c r="BN19" i="1" s="1"/>
  <c r="BA20" i="1" l="1"/>
  <c r="BK20" i="1" s="1"/>
  <c r="BL19" i="1"/>
  <c r="BP19" i="1" s="1"/>
  <c r="BF19" i="1"/>
  <c r="AH19" i="1"/>
  <c r="AL19" i="1" s="1"/>
  <c r="I19" i="1" s="1"/>
  <c r="AV19" i="1"/>
  <c r="BS19" i="1"/>
  <c r="BO19" i="1"/>
  <c r="BE19" i="1"/>
  <c r="BI19" i="1" l="1"/>
  <c r="J18" i="3"/>
  <c r="AK19" i="1"/>
  <c r="BL10" i="1"/>
  <c r="BP10" i="1" s="1"/>
  <c r="BB10" i="1"/>
  <c r="BF10" i="1" s="1"/>
  <c r="AU10" i="1"/>
  <c r="AR10" i="1"/>
  <c r="AV10" i="1" s="1"/>
  <c r="AK10" i="1"/>
  <c r="AH10" i="1"/>
  <c r="AL10" i="1" s="1"/>
  <c r="AE3" i="1"/>
  <c r="X10" i="1"/>
  <c r="Z4" i="1"/>
  <c r="Y4" i="1"/>
  <c r="AA4" i="1" s="1"/>
  <c r="AC4" i="1" s="1"/>
  <c r="K32" i="3"/>
  <c r="K34" i="3"/>
  <c r="J34" i="3"/>
  <c r="I34" i="3"/>
  <c r="H34" i="3"/>
  <c r="G34" i="3"/>
  <c r="BM13" i="2"/>
  <c r="BN13" i="2"/>
  <c r="BQ13" i="2"/>
  <c r="BC13" i="2"/>
  <c r="BD13" i="2"/>
  <c r="BG13" i="2"/>
  <c r="BG8" i="2" s="1"/>
  <c r="AS13" i="2"/>
  <c r="AT13" i="2"/>
  <c r="AW13" i="2"/>
  <c r="AJ13" i="2"/>
  <c r="AM13" i="2"/>
  <c r="Y13" i="2"/>
  <c r="Z13" i="2"/>
  <c r="AC13" i="2"/>
  <c r="N13" i="2"/>
  <c r="O13" i="2"/>
  <c r="P13" i="2"/>
  <c r="S13" i="2"/>
  <c r="M13" i="2"/>
  <c r="BB16" i="2"/>
  <c r="BH16" i="2" s="1"/>
  <c r="BA16" i="2"/>
  <c r="AR16" i="2"/>
  <c r="AX16" i="2" s="1"/>
  <c r="AQ16" i="2"/>
  <c r="AH16" i="2"/>
  <c r="AN16" i="2" s="1"/>
  <c r="AG16" i="2"/>
  <c r="AL16" i="2" s="1"/>
  <c r="X16" i="2"/>
  <c r="AD16" i="2" s="1"/>
  <c r="W16" i="2"/>
  <c r="AB16" i="2" s="1"/>
  <c r="BL15" i="2"/>
  <c r="BO15" i="2" s="1"/>
  <c r="BS15" i="2" s="1"/>
  <c r="BB15" i="2"/>
  <c r="BE15" i="2" s="1"/>
  <c r="J32" i="3" s="1"/>
  <c r="AR15" i="2"/>
  <c r="AH15" i="2"/>
  <c r="AI15" i="2"/>
  <c r="AI13" i="2" s="1"/>
  <c r="W15" i="2"/>
  <c r="BL14" i="2"/>
  <c r="BR14" i="2" s="1"/>
  <c r="BK14" i="2"/>
  <c r="BP14" i="2" s="1"/>
  <c r="BB14" i="2"/>
  <c r="BH14" i="2" s="1"/>
  <c r="BA14" i="2"/>
  <c r="AR14" i="2"/>
  <c r="AX14" i="2" s="1"/>
  <c r="AQ14" i="2"/>
  <c r="AV14" i="2" s="1"/>
  <c r="AH14" i="2"/>
  <c r="AN14" i="2" s="1"/>
  <c r="AG14" i="2"/>
  <c r="AL14" i="2" s="1"/>
  <c r="X14" i="2"/>
  <c r="W14" i="2"/>
  <c r="AB14" i="2" s="1"/>
  <c r="BE14" i="2" l="1"/>
  <c r="J31" i="3" s="1"/>
  <c r="BE16" i="2"/>
  <c r="J33" i="3" s="1"/>
  <c r="BE10" i="1"/>
  <c r="BI10" i="1" s="1"/>
  <c r="BI15" i="2"/>
  <c r="AO10" i="1"/>
  <c r="AO19" i="1"/>
  <c r="H18" i="3"/>
  <c r="L34" i="3"/>
  <c r="P34" i="3"/>
  <c r="BO10" i="1"/>
  <c r="BS10" i="1" s="1"/>
  <c r="AY10" i="1"/>
  <c r="X13" i="2"/>
  <c r="W13" i="2"/>
  <c r="BO14" i="2"/>
  <c r="K31" i="3" s="1"/>
  <c r="AU16" i="2"/>
  <c r="I33" i="3" s="1"/>
  <c r="AG13" i="2"/>
  <c r="AD14" i="2"/>
  <c r="AH13" i="2"/>
  <c r="AQ13" i="2"/>
  <c r="AR13" i="2"/>
  <c r="BF14" i="2"/>
  <c r="BF16" i="2"/>
  <c r="BI16" i="2" s="1"/>
  <c r="AV16" i="2"/>
  <c r="BA13" i="2"/>
  <c r="BB13" i="2"/>
  <c r="AK16" i="2"/>
  <c r="BS14" i="2"/>
  <c r="AU14" i="2"/>
  <c r="I31" i="3" s="1"/>
  <c r="AK14" i="2"/>
  <c r="H31" i="3" s="1"/>
  <c r="BL12" i="2"/>
  <c r="BR12" i="2" s="1"/>
  <c r="BK12" i="2"/>
  <c r="BB12" i="2"/>
  <c r="BH12" i="2" s="1"/>
  <c r="BA12" i="2"/>
  <c r="AR12" i="2"/>
  <c r="AX12" i="2" s="1"/>
  <c r="AQ12" i="2"/>
  <c r="AH12" i="2"/>
  <c r="AN12" i="2" s="1"/>
  <c r="AG12" i="2"/>
  <c r="X12" i="2"/>
  <c r="AD12" i="2" s="1"/>
  <c r="W12" i="2"/>
  <c r="N12" i="2"/>
  <c r="T12" i="2" s="1"/>
  <c r="M12" i="2"/>
  <c r="N11" i="2"/>
  <c r="T11" i="2" s="1"/>
  <c r="BL10" i="2"/>
  <c r="BK10" i="2"/>
  <c r="BP10" i="2" s="1"/>
  <c r="BB10" i="2"/>
  <c r="BA10" i="2"/>
  <c r="BF10" i="2" s="1"/>
  <c r="AI10" i="2"/>
  <c r="AI9" i="2" s="1"/>
  <c r="AI8" i="2" s="1"/>
  <c r="AR10" i="2"/>
  <c r="AQ10" i="2"/>
  <c r="AV10" i="2" s="1"/>
  <c r="Y10" i="2"/>
  <c r="AH10" i="2"/>
  <c r="AG10" i="2"/>
  <c r="AL10" i="2" s="1"/>
  <c r="X10" i="2"/>
  <c r="W10" i="2"/>
  <c r="AB10" i="2" s="1"/>
  <c r="N10" i="2"/>
  <c r="M10" i="2"/>
  <c r="R10" i="2" s="1"/>
  <c r="O9" i="2"/>
  <c r="O8" i="2" s="1"/>
  <c r="Y9" i="2"/>
  <c r="Y8" i="2" s="1"/>
  <c r="Z9" i="2"/>
  <c r="Z8" i="2" s="1"/>
  <c r="AJ9" i="2"/>
  <c r="AJ8" i="2" s="1"/>
  <c r="AS9" i="2"/>
  <c r="AS8" i="2" s="1"/>
  <c r="AT9" i="2"/>
  <c r="AT8" i="2" s="1"/>
  <c r="AW9" i="2"/>
  <c r="AW8" i="2" s="1"/>
  <c r="BC9" i="2"/>
  <c r="BC8" i="2" s="1"/>
  <c r="BD9" i="2"/>
  <c r="BD8" i="2" s="1"/>
  <c r="BM9" i="2"/>
  <c r="BM8" i="2" s="1"/>
  <c r="BN9" i="2"/>
  <c r="BN8" i="2" s="1"/>
  <c r="BQ9" i="2"/>
  <c r="BQ8" i="2" s="1"/>
  <c r="J10" i="2"/>
  <c r="N27" i="3" s="1"/>
  <c r="R27" i="3" s="1"/>
  <c r="AC9" i="2"/>
  <c r="AC8" i="2" s="1"/>
  <c r="AM9" i="2"/>
  <c r="AM8" i="2" s="1"/>
  <c r="P9" i="2"/>
  <c r="P8" i="2" s="1"/>
  <c r="J14" i="2"/>
  <c r="N31" i="3" s="1"/>
  <c r="R31" i="3" s="1"/>
  <c r="J15" i="2"/>
  <c r="N32" i="3" s="1"/>
  <c r="R32" i="3" s="1"/>
  <c r="Q15" i="2"/>
  <c r="F32" i="3" s="1"/>
  <c r="AA15" i="2"/>
  <c r="AK15" i="2"/>
  <c r="AU15" i="2"/>
  <c r="J16" i="2"/>
  <c r="N33" i="3" s="1"/>
  <c r="R33" i="3" s="1"/>
  <c r="BK16" i="2"/>
  <c r="BK13" i="2" s="1"/>
  <c r="AL13" i="2"/>
  <c r="AX13" i="2"/>
  <c r="AX8" i="2" s="1"/>
  <c r="G12" i="3"/>
  <c r="Q24" i="1"/>
  <c r="F23" i="3" s="1"/>
  <c r="O25" i="1"/>
  <c r="T25" i="1" s="1"/>
  <c r="AR25" i="1"/>
  <c r="BB25" i="1" s="1"/>
  <c r="AO15" i="2" l="1"/>
  <c r="H32" i="3"/>
  <c r="AK12" i="2"/>
  <c r="H29" i="3" s="1"/>
  <c r="I30" i="3"/>
  <c r="Y25" i="1"/>
  <c r="AJ25" i="1" s="1"/>
  <c r="AN25" i="1" s="1"/>
  <c r="AB15" i="2"/>
  <c r="I15" i="2" s="1"/>
  <c r="M32" i="3" s="1"/>
  <c r="Q32" i="3" s="1"/>
  <c r="G32" i="3"/>
  <c r="AO16" i="2"/>
  <c r="H33" i="3"/>
  <c r="H30" i="3" s="1"/>
  <c r="W8" i="2"/>
  <c r="R12" i="2"/>
  <c r="BE12" i="2"/>
  <c r="J29" i="3" s="1"/>
  <c r="AY15" i="2"/>
  <c r="I32" i="3"/>
  <c r="J30" i="3"/>
  <c r="BF25" i="1"/>
  <c r="BL25" i="1"/>
  <c r="BP25" i="1" s="1"/>
  <c r="X25" i="1"/>
  <c r="Q25" i="1"/>
  <c r="F24" i="3" s="1"/>
  <c r="AH25" i="1"/>
  <c r="BK9" i="2"/>
  <c r="BK8" i="2" s="1"/>
  <c r="AO14" i="2"/>
  <c r="AY16" i="2"/>
  <c r="AY14" i="2"/>
  <c r="BI14" i="2"/>
  <c r="R16" i="2"/>
  <c r="AK13" i="2"/>
  <c r="Q17" i="2"/>
  <c r="F34" i="3" s="1"/>
  <c r="AV13" i="2"/>
  <c r="X11" i="2"/>
  <c r="AH11" i="2" s="1"/>
  <c r="AN11" i="2" s="1"/>
  <c r="AN9" i="2" s="1"/>
  <c r="AA12" i="2"/>
  <c r="G29" i="3" s="1"/>
  <c r="AU12" i="2"/>
  <c r="I29" i="3" s="1"/>
  <c r="BO12" i="2"/>
  <c r="K29" i="3" s="1"/>
  <c r="BA9" i="2"/>
  <c r="BA8" i="2" s="1"/>
  <c r="W9" i="2"/>
  <c r="M9" i="2"/>
  <c r="M8" i="2" s="1"/>
  <c r="AQ9" i="2"/>
  <c r="AQ8" i="2" s="1"/>
  <c r="BF13" i="2"/>
  <c r="R17" i="2"/>
  <c r="AB13" i="2"/>
  <c r="Q16" i="2"/>
  <c r="F33" i="3" s="1"/>
  <c r="AU10" i="2"/>
  <c r="Q12" i="2"/>
  <c r="BP12" i="2"/>
  <c r="BF12" i="2"/>
  <c r="BI12" i="2" s="1"/>
  <c r="AV12" i="2"/>
  <c r="AL12" i="2"/>
  <c r="AO12" i="2" s="1"/>
  <c r="J12" i="2"/>
  <c r="N29" i="3" s="1"/>
  <c r="R29" i="3" s="1"/>
  <c r="AB12" i="2"/>
  <c r="AB9" i="2" s="1"/>
  <c r="N9" i="2"/>
  <c r="N8" i="2" s="1"/>
  <c r="AH9" i="2"/>
  <c r="AH8" i="2" s="1"/>
  <c r="BO10" i="2"/>
  <c r="BE10" i="2"/>
  <c r="AK10" i="2"/>
  <c r="AG9" i="2"/>
  <c r="AG8" i="2" s="1"/>
  <c r="AA10" i="2"/>
  <c r="BH13" i="2"/>
  <c r="AU13" i="2"/>
  <c r="AN13" i="2"/>
  <c r="AN8" i="2" s="1"/>
  <c r="T17" i="2"/>
  <c r="T13" i="2" s="1"/>
  <c r="H15" i="2"/>
  <c r="J13" i="2"/>
  <c r="BR13" i="2"/>
  <c r="BE13" i="2"/>
  <c r="AD13" i="2"/>
  <c r="AA16" i="2"/>
  <c r="G33" i="3" s="1"/>
  <c r="AA11" i="2"/>
  <c r="G28" i="3" s="1"/>
  <c r="Q11" i="2"/>
  <c r="F28" i="3" s="1"/>
  <c r="Q10" i="2"/>
  <c r="F27" i="3" s="1"/>
  <c r="AA14" i="2"/>
  <c r="G31" i="3" s="1"/>
  <c r="Q14" i="2"/>
  <c r="F31" i="3" s="1"/>
  <c r="AT25" i="1"/>
  <c r="AD25" i="1"/>
  <c r="AX25" i="1"/>
  <c r="AE10" i="2" l="1"/>
  <c r="G27" i="3"/>
  <c r="G26" i="3" s="1"/>
  <c r="AB8" i="2"/>
  <c r="F26" i="3"/>
  <c r="BD25" i="1"/>
  <c r="AT22" i="1"/>
  <c r="G30" i="3"/>
  <c r="L31" i="3"/>
  <c r="AO10" i="2"/>
  <c r="H27" i="3"/>
  <c r="AY12" i="2"/>
  <c r="BI10" i="2"/>
  <c r="J27" i="3"/>
  <c r="BS10" i="2"/>
  <c r="K27" i="3"/>
  <c r="L32" i="3"/>
  <c r="P32" i="3" s="1"/>
  <c r="U12" i="2"/>
  <c r="F29" i="3"/>
  <c r="L29" i="3" s="1"/>
  <c r="P29" i="3" s="1"/>
  <c r="K15" i="2"/>
  <c r="O32" i="3" s="1"/>
  <c r="S32" i="3" s="1"/>
  <c r="AY10" i="2"/>
  <c r="I27" i="3"/>
  <c r="Q13" i="2"/>
  <c r="Q8" i="2" s="1"/>
  <c r="X9" i="2"/>
  <c r="X8" i="2" s="1"/>
  <c r="H12" i="2"/>
  <c r="AK11" i="2"/>
  <c r="H28" i="3" s="1"/>
  <c r="AA13" i="2"/>
  <c r="AA8" i="2" s="1"/>
  <c r="AR11" i="2"/>
  <c r="AR9" i="2" s="1"/>
  <c r="AR8" i="2" s="1"/>
  <c r="AO13" i="2"/>
  <c r="AO8" i="2" s="1"/>
  <c r="I17" i="2"/>
  <c r="M34" i="3" s="1"/>
  <c r="U16" i="2"/>
  <c r="U17" i="2"/>
  <c r="BS12" i="2"/>
  <c r="H17" i="2"/>
  <c r="AD11" i="2"/>
  <c r="AE11" i="2" s="1"/>
  <c r="BB11" i="2"/>
  <c r="AE12" i="2"/>
  <c r="T9" i="2"/>
  <c r="T8" i="2" s="1"/>
  <c r="AA9" i="2"/>
  <c r="AK9" i="2"/>
  <c r="AK8" i="2" s="1"/>
  <c r="U11" i="2"/>
  <c r="BI13" i="2"/>
  <c r="H14" i="2"/>
  <c r="R14" i="2"/>
  <c r="AY13" i="2"/>
  <c r="AV9" i="2"/>
  <c r="AV8" i="2" s="1"/>
  <c r="Q9" i="2"/>
  <c r="U10" i="2"/>
  <c r="H10" i="2"/>
  <c r="BF9" i="2"/>
  <c r="BF8" i="2" s="1"/>
  <c r="I12" i="2"/>
  <c r="M29" i="3" s="1"/>
  <c r="Q29" i="3" s="1"/>
  <c r="J17" i="2"/>
  <c r="N34" i="3" s="1"/>
  <c r="F25" i="3" l="1"/>
  <c r="AO11" i="2"/>
  <c r="H26" i="3"/>
  <c r="H25" i="3" s="1"/>
  <c r="L27" i="3"/>
  <c r="P27" i="3" s="1"/>
  <c r="P31" i="3"/>
  <c r="G25" i="3"/>
  <c r="BN25" i="1"/>
  <c r="BD22" i="1"/>
  <c r="BH25" i="1"/>
  <c r="BE25" i="1"/>
  <c r="R34" i="3"/>
  <c r="N30" i="3"/>
  <c r="Q34" i="3"/>
  <c r="AX11" i="2"/>
  <c r="AU11" i="2"/>
  <c r="I28" i="3" s="1"/>
  <c r="I26" i="3" s="1"/>
  <c r="I25" i="3" s="1"/>
  <c r="U14" i="2"/>
  <c r="U13" i="2" s="1"/>
  <c r="R13" i="2"/>
  <c r="K12" i="2"/>
  <c r="O29" i="3" s="1"/>
  <c r="S29" i="3" s="1"/>
  <c r="BE11" i="2"/>
  <c r="J28" i="3" s="1"/>
  <c r="J26" i="3" s="1"/>
  <c r="J25" i="3" s="1"/>
  <c r="BL11" i="2"/>
  <c r="BH11" i="2"/>
  <c r="BH9" i="2" s="1"/>
  <c r="BH8" i="2" s="1"/>
  <c r="BB9" i="2"/>
  <c r="BB8" i="2" s="1"/>
  <c r="AD9" i="2"/>
  <c r="AD8" i="2" s="1"/>
  <c r="AE9" i="2"/>
  <c r="AE14" i="2"/>
  <c r="AE16" i="2"/>
  <c r="I11" i="2"/>
  <c r="M28" i="3" s="1"/>
  <c r="R9" i="2"/>
  <c r="R8" i="2" s="1"/>
  <c r="K17" i="2"/>
  <c r="O34" i="3" s="1"/>
  <c r="U9" i="2"/>
  <c r="S9" i="2"/>
  <c r="S8" i="2" s="1"/>
  <c r="I14" i="2"/>
  <c r="M31" i="3" s="1"/>
  <c r="Q31" i="3" s="1"/>
  <c r="AL9" i="2"/>
  <c r="AL8" i="2" s="1"/>
  <c r="I10" i="2"/>
  <c r="M27" i="3" s="1"/>
  <c r="Q27" i="3" s="1"/>
  <c r="AK3" i="2"/>
  <c r="M26" i="3" l="1"/>
  <c r="Q26" i="3" s="1"/>
  <c r="Q28" i="3"/>
  <c r="BR25" i="1"/>
  <c r="BN22" i="1"/>
  <c r="BO25" i="1"/>
  <c r="AU9" i="2"/>
  <c r="AU8" i="2" s="1"/>
  <c r="AY11" i="2"/>
  <c r="AY9" i="2" s="1"/>
  <c r="AY8" i="2" s="1"/>
  <c r="U8" i="2"/>
  <c r="J24" i="3"/>
  <c r="BI25" i="1"/>
  <c r="R30" i="3"/>
  <c r="S34" i="3"/>
  <c r="K14" i="2"/>
  <c r="O31" i="3" s="1"/>
  <c r="S31" i="3" s="1"/>
  <c r="AE13" i="2"/>
  <c r="AE8" i="2" s="1"/>
  <c r="I9" i="2"/>
  <c r="BO11" i="2"/>
  <c r="K28" i="3" s="1"/>
  <c r="BR11" i="2"/>
  <c r="BL9" i="2"/>
  <c r="BI11" i="2"/>
  <c r="BE9" i="2"/>
  <c r="BE8" i="2" s="1"/>
  <c r="K10" i="2"/>
  <c r="O27" i="3" s="1"/>
  <c r="BL16" i="2"/>
  <c r="BL13" i="2" s="1"/>
  <c r="AT3" i="2"/>
  <c r="BL8" i="2" l="1"/>
  <c r="K24" i="3"/>
  <c r="BS25" i="1"/>
  <c r="L28" i="3"/>
  <c r="P28" i="3" s="1"/>
  <c r="K26" i="3"/>
  <c r="L26" i="3" s="1"/>
  <c r="S27" i="3"/>
  <c r="H11" i="2"/>
  <c r="H9" i="2" s="1"/>
  <c r="BI9" i="2"/>
  <c r="BI8" i="2" s="1"/>
  <c r="BR9" i="2"/>
  <c r="BR8" i="2" s="1"/>
  <c r="J11" i="2"/>
  <c r="BS11" i="2"/>
  <c r="BS9" i="2" s="1"/>
  <c r="BO9" i="2"/>
  <c r="BO16" i="2"/>
  <c r="BE3" i="2"/>
  <c r="P26" i="3" l="1"/>
  <c r="J9" i="2"/>
  <c r="J8" i="2" s="1"/>
  <c r="N28" i="3"/>
  <c r="BO13" i="2"/>
  <c r="BO8" i="2" s="1"/>
  <c r="K33" i="3"/>
  <c r="H8" i="2"/>
  <c r="K11" i="2"/>
  <c r="BP16" i="2"/>
  <c r="BS16" i="2" s="1"/>
  <c r="H16" i="2"/>
  <c r="H13" i="2" s="1"/>
  <c r="BO3" i="2"/>
  <c r="K30" i="3" l="1"/>
  <c r="K25" i="3" s="1"/>
  <c r="L33" i="3"/>
  <c r="R28" i="3"/>
  <c r="N26" i="3"/>
  <c r="K9" i="2"/>
  <c r="O28" i="3"/>
  <c r="BS13" i="2"/>
  <c r="BS8" i="2" s="1"/>
  <c r="BP13" i="2"/>
  <c r="BP8" i="2" s="1"/>
  <c r="I16" i="2"/>
  <c r="S28" i="3" l="1"/>
  <c r="O26" i="3"/>
  <c r="R26" i="3"/>
  <c r="R25" i="3" s="1"/>
  <c r="N25" i="3"/>
  <c r="P33" i="3"/>
  <c r="L30" i="3"/>
  <c r="I13" i="2"/>
  <c r="I8" i="2" s="1"/>
  <c r="M33" i="3"/>
  <c r="K16" i="2"/>
  <c r="Q33" i="3" l="1"/>
  <c r="M30" i="3"/>
  <c r="P30" i="3"/>
  <c r="P25" i="3" s="1"/>
  <c r="L25" i="3"/>
  <c r="S26" i="3"/>
  <c r="K13" i="2"/>
  <c r="K8" i="2" s="1"/>
  <c r="O33" i="3"/>
  <c r="BM20" i="1"/>
  <c r="BC20" i="1"/>
  <c r="J24" i="1"/>
  <c r="N23" i="3" s="1"/>
  <c r="R23" i="3" s="1"/>
  <c r="BM23" i="1"/>
  <c r="BK23" i="1"/>
  <c r="BK22" i="1" s="1"/>
  <c r="BC23" i="1"/>
  <c r="BA23" i="1"/>
  <c r="AS23" i="1"/>
  <c r="AQ23" i="1"/>
  <c r="AL23" i="1"/>
  <c r="AI23" i="1"/>
  <c r="AN23" i="1" s="1"/>
  <c r="AG23" i="1"/>
  <c r="AG22" i="1" s="1"/>
  <c r="Y23" i="1"/>
  <c r="W23" i="1"/>
  <c r="W22" i="1" s="1"/>
  <c r="O23" i="1"/>
  <c r="M23" i="1"/>
  <c r="AU19" i="1"/>
  <c r="I18" i="3" s="1"/>
  <c r="K18" i="3"/>
  <c r="AA19" i="1"/>
  <c r="Q19" i="1"/>
  <c r="BO12" i="1"/>
  <c r="K11" i="3" s="1"/>
  <c r="BO13" i="1"/>
  <c r="K12" i="3" s="1"/>
  <c r="BO14" i="1"/>
  <c r="K13" i="3" s="1"/>
  <c r="BO15" i="1"/>
  <c r="K14" i="3" s="1"/>
  <c r="BB16" i="1"/>
  <c r="BE16" i="1" s="1"/>
  <c r="J15" i="3" s="1"/>
  <c r="BE15" i="1"/>
  <c r="BE12" i="1"/>
  <c r="J11" i="3" s="1"/>
  <c r="BE13" i="1"/>
  <c r="J12" i="3" s="1"/>
  <c r="BE14" i="1"/>
  <c r="J13" i="3" s="1"/>
  <c r="AR16" i="1"/>
  <c r="AU15" i="1"/>
  <c r="AU13" i="1"/>
  <c r="AU14" i="1"/>
  <c r="AU12" i="1"/>
  <c r="AK14" i="1"/>
  <c r="H13" i="3" s="1"/>
  <c r="AK13" i="1"/>
  <c r="H12" i="3" s="1"/>
  <c r="AL12" i="1"/>
  <c r="AK12" i="1"/>
  <c r="H11" i="3" s="1"/>
  <c r="AA15" i="1"/>
  <c r="G14" i="3" s="1"/>
  <c r="AB13" i="1"/>
  <c r="AB15" i="1"/>
  <c r="AB12" i="1"/>
  <c r="J19" i="1"/>
  <c r="N18" i="3" s="1"/>
  <c r="J20" i="1"/>
  <c r="N19" i="3" s="1"/>
  <c r="J21" i="1"/>
  <c r="N20" i="3" s="1"/>
  <c r="J18" i="1"/>
  <c r="N17" i="3" s="1"/>
  <c r="J11" i="1"/>
  <c r="N10" i="3" s="1"/>
  <c r="R10" i="3" s="1"/>
  <c r="J12" i="1"/>
  <c r="N11" i="3" s="1"/>
  <c r="R11" i="3" s="1"/>
  <c r="J16" i="1"/>
  <c r="N15" i="3" s="1"/>
  <c r="R15" i="3" s="1"/>
  <c r="J10" i="1"/>
  <c r="N9" i="3" s="1"/>
  <c r="R9" i="3" s="1"/>
  <c r="R23" i="1" l="1"/>
  <c r="M22" i="1"/>
  <c r="AX23" i="1"/>
  <c r="AX22" i="1" s="1"/>
  <c r="AS22" i="1"/>
  <c r="S33" i="3"/>
  <c r="O30" i="3"/>
  <c r="T23" i="1"/>
  <c r="T22" i="1" s="1"/>
  <c r="O22" i="1"/>
  <c r="BF23" i="1"/>
  <c r="BA22" i="1"/>
  <c r="BH23" i="1"/>
  <c r="BH22" i="1" s="1"/>
  <c r="BC22" i="1"/>
  <c r="F18" i="3"/>
  <c r="H19" i="1"/>
  <c r="U19" i="1"/>
  <c r="K19" i="1" s="1"/>
  <c r="AD23" i="1"/>
  <c r="AD22" i="1" s="1"/>
  <c r="Y22" i="1"/>
  <c r="G18" i="3"/>
  <c r="AE19" i="1"/>
  <c r="BR23" i="1"/>
  <c r="BR22" i="1" s="1"/>
  <c r="BM22" i="1"/>
  <c r="Q30" i="3"/>
  <c r="Q25" i="3" s="1"/>
  <c r="M25" i="3"/>
  <c r="Q23" i="1"/>
  <c r="AV23" i="1"/>
  <c r="AQ22" i="1"/>
  <c r="AB20" i="1"/>
  <c r="AY19" i="1"/>
  <c r="O18" i="3" s="1"/>
  <c r="S18" i="3" s="1"/>
  <c r="AV12" i="1"/>
  <c r="I11" i="3"/>
  <c r="AV16" i="1"/>
  <c r="AU16" i="1"/>
  <c r="I15" i="3" s="1"/>
  <c r="AV14" i="1"/>
  <c r="I13" i="3"/>
  <c r="AK23" i="1"/>
  <c r="AV13" i="1"/>
  <c r="AY13" i="1" s="1"/>
  <c r="I12" i="3"/>
  <c r="N16" i="3"/>
  <c r="R16" i="3" s="1"/>
  <c r="AV15" i="1"/>
  <c r="AY15" i="1" s="1"/>
  <c r="I14" i="3"/>
  <c r="BF15" i="1"/>
  <c r="BI15" i="1" s="1"/>
  <c r="J14" i="3"/>
  <c r="AA23" i="1"/>
  <c r="BO23" i="1"/>
  <c r="AB23" i="1"/>
  <c r="AB22" i="1" s="1"/>
  <c r="AU23" i="1"/>
  <c r="BP23" i="1"/>
  <c r="BE23" i="1"/>
  <c r="BP12" i="1"/>
  <c r="BS12" i="1" s="1"/>
  <c r="BP15" i="1"/>
  <c r="BS15" i="1" s="1"/>
  <c r="BP14" i="1"/>
  <c r="BS14" i="1" s="1"/>
  <c r="BP13" i="1"/>
  <c r="BS13" i="1" s="1"/>
  <c r="BF12" i="1"/>
  <c r="BI12" i="1" s="1"/>
  <c r="BF14" i="1"/>
  <c r="BI14" i="1" s="1"/>
  <c r="BF13" i="1"/>
  <c r="BI13" i="1" s="1"/>
  <c r="AY14" i="1"/>
  <c r="AY12" i="1"/>
  <c r="J17" i="1"/>
  <c r="AA25" i="1"/>
  <c r="G24" i="3" s="1"/>
  <c r="R25" i="1"/>
  <c r="AU18" i="1"/>
  <c r="I17" i="3" s="1"/>
  <c r="AA18" i="1"/>
  <c r="G17" i="3" s="1"/>
  <c r="O18" i="1"/>
  <c r="Q18" i="1" s="1"/>
  <c r="F17" i="3" s="1"/>
  <c r="BR17" i="1"/>
  <c r="BQ17" i="1"/>
  <c r="BH17" i="1"/>
  <c r="BG17" i="1"/>
  <c r="AX17" i="1"/>
  <c r="AW17" i="1"/>
  <c r="AN17" i="1"/>
  <c r="AM17" i="1"/>
  <c r="AD17" i="1"/>
  <c r="AC17" i="1"/>
  <c r="P17" i="1"/>
  <c r="S17" i="1"/>
  <c r="T17" i="1"/>
  <c r="M17" i="1"/>
  <c r="BN17" i="1"/>
  <c r="BM21" i="1"/>
  <c r="BD17" i="1"/>
  <c r="BF16" i="1" s="1"/>
  <c r="BC21" i="1"/>
  <c r="AT17" i="1"/>
  <c r="AS21" i="1"/>
  <c r="AJ17" i="1"/>
  <c r="Z17" i="1"/>
  <c r="N21" i="1"/>
  <c r="Q20" i="1"/>
  <c r="F19" i="3" s="1"/>
  <c r="M18" i="3"/>
  <c r="Q18" i="3" s="1"/>
  <c r="F22" i="3" l="1"/>
  <c r="F21" i="3" s="1"/>
  <c r="Q22" i="1"/>
  <c r="J23" i="1"/>
  <c r="S30" i="3"/>
  <c r="S25" i="3" s="1"/>
  <c r="O25" i="3"/>
  <c r="G22" i="3"/>
  <c r="AY16" i="1"/>
  <c r="AR20" i="1"/>
  <c r="AK20" i="1"/>
  <c r="L18" i="3"/>
  <c r="P18" i="3" s="1"/>
  <c r="BM17" i="1"/>
  <c r="BI23" i="1"/>
  <c r="J22" i="3"/>
  <c r="BS23" i="1"/>
  <c r="K22" i="3"/>
  <c r="AO23" i="1"/>
  <c r="H22" i="3"/>
  <c r="AY23" i="1"/>
  <c r="I22" i="3"/>
  <c r="N22" i="3"/>
  <c r="R22" i="3" s="1"/>
  <c r="I23" i="1"/>
  <c r="M22" i="3" s="1"/>
  <c r="Q22" i="3" s="1"/>
  <c r="BI16" i="1"/>
  <c r="U25" i="1"/>
  <c r="AE23" i="1"/>
  <c r="X21" i="1"/>
  <c r="AH21" i="1" s="1"/>
  <c r="AL21" i="1" s="1"/>
  <c r="Q21" i="1"/>
  <c r="F20" i="3" s="1"/>
  <c r="BE18" i="1"/>
  <c r="J17" i="3" s="1"/>
  <c r="AK18" i="1"/>
  <c r="H17" i="3" s="1"/>
  <c r="BO18" i="1"/>
  <c r="K17" i="3" s="1"/>
  <c r="H23" i="1"/>
  <c r="K13" i="1"/>
  <c r="O12" i="3" s="1"/>
  <c r="N17" i="1"/>
  <c r="BC17" i="1"/>
  <c r="AS17" i="1"/>
  <c r="AE25" i="1"/>
  <c r="AK25" i="1"/>
  <c r="O17" i="1"/>
  <c r="AI17" i="1"/>
  <c r="Y17" i="1"/>
  <c r="AV18" i="1"/>
  <c r="AB18" i="1"/>
  <c r="BB20" i="1" l="1"/>
  <c r="AU20" i="1"/>
  <c r="BP18" i="1"/>
  <c r="BS18" i="1" s="1"/>
  <c r="BF18" i="1"/>
  <c r="BI18" i="1" s="1"/>
  <c r="AL18" i="1"/>
  <c r="AO18" i="1" s="1"/>
  <c r="L17" i="3"/>
  <c r="L22" i="3"/>
  <c r="P22" i="3" s="1"/>
  <c r="AR21" i="1"/>
  <c r="J25" i="1"/>
  <c r="H24" i="3"/>
  <c r="F16" i="3"/>
  <c r="AB21" i="1"/>
  <c r="X17" i="1"/>
  <c r="AA20" i="1"/>
  <c r="G19" i="3" s="1"/>
  <c r="AU25" i="1"/>
  <c r="AL25" i="1"/>
  <c r="AY18" i="1"/>
  <c r="AV21" i="1"/>
  <c r="BB21" i="1"/>
  <c r="AE18" i="1"/>
  <c r="AQ9" i="1"/>
  <c r="AS9" i="1"/>
  <c r="BA9" i="1"/>
  <c r="BC9" i="1"/>
  <c r="BK9" i="1"/>
  <c r="BM9" i="1"/>
  <c r="AI9" i="1"/>
  <c r="Y9" i="1"/>
  <c r="BN9" i="1"/>
  <c r="BL16" i="1"/>
  <c r="BD9" i="1"/>
  <c r="AT9" i="1"/>
  <c r="AJ9" i="1"/>
  <c r="AH16" i="1"/>
  <c r="X16" i="1"/>
  <c r="Z9" i="1"/>
  <c r="BL20" i="1" l="1"/>
  <c r="BO20" i="1" s="1"/>
  <c r="BE20" i="1"/>
  <c r="H20" i="1" s="1"/>
  <c r="P17" i="3"/>
  <c r="AK16" i="1"/>
  <c r="H15" i="3" s="1"/>
  <c r="AL16" i="1"/>
  <c r="BP16" i="1"/>
  <c r="BO16" i="1"/>
  <c r="K15" i="3" s="1"/>
  <c r="I24" i="3"/>
  <c r="L24" i="3" s="1"/>
  <c r="P24" i="3" s="1"/>
  <c r="N24" i="3"/>
  <c r="J22" i="1"/>
  <c r="AO25" i="1"/>
  <c r="AH17" i="1"/>
  <c r="AL20" i="1"/>
  <c r="AB16" i="1"/>
  <c r="AA16" i="1"/>
  <c r="G15" i="3" s="1"/>
  <c r="AV25" i="1"/>
  <c r="AY25" i="1" s="1"/>
  <c r="BF21" i="1"/>
  <c r="BL21" i="1"/>
  <c r="BP21" i="1" s="1"/>
  <c r="I19" i="3" l="1"/>
  <c r="N21" i="3"/>
  <c r="R21" i="3" s="1"/>
  <c r="R24" i="3"/>
  <c r="K25" i="1"/>
  <c r="O24" i="3" s="1"/>
  <c r="S24" i="3" s="1"/>
  <c r="H19" i="3"/>
  <c r="AR17" i="1"/>
  <c r="H25" i="1"/>
  <c r="AV20" i="1"/>
  <c r="AY20" i="1" s="1"/>
  <c r="AO20" i="1"/>
  <c r="AL17" i="1"/>
  <c r="BS16" i="1"/>
  <c r="AE16" i="1"/>
  <c r="AO16" i="1"/>
  <c r="X14" i="1"/>
  <c r="AD14" i="1" s="1"/>
  <c r="W14" i="1"/>
  <c r="AB14" i="1" s="1"/>
  <c r="M13" i="1"/>
  <c r="Q13" i="1" s="1"/>
  <c r="F12" i="3" s="1"/>
  <c r="L12" i="3" s="1"/>
  <c r="P12" i="3" s="1"/>
  <c r="BR9" i="1"/>
  <c r="BQ9" i="1"/>
  <c r="BH9" i="1"/>
  <c r="AW9" i="1"/>
  <c r="AN13" i="1"/>
  <c r="AN9" i="1" s="1"/>
  <c r="AM13" i="1"/>
  <c r="AM9" i="1" s="1"/>
  <c r="AC13" i="1"/>
  <c r="AC9" i="1" s="1"/>
  <c r="BL11" i="1"/>
  <c r="BO11" i="1" s="1"/>
  <c r="BB11" i="1"/>
  <c r="BE11" i="1" s="1"/>
  <c r="AR11" i="1"/>
  <c r="AU11" i="1" s="1"/>
  <c r="AH11" i="1"/>
  <c r="AK11" i="1" s="1"/>
  <c r="X11" i="1"/>
  <c r="AB11" i="1" s="1"/>
  <c r="N11" i="1"/>
  <c r="N9" i="1" s="1"/>
  <c r="M10" i="1"/>
  <c r="BP11" i="1" l="1"/>
  <c r="K10" i="3"/>
  <c r="AL11" i="1"/>
  <c r="H10" i="3"/>
  <c r="AV11" i="1"/>
  <c r="I10" i="3"/>
  <c r="BF11" i="1"/>
  <c r="J10" i="3"/>
  <c r="AG9" i="1"/>
  <c r="AK15" i="1"/>
  <c r="H14" i="3" s="1"/>
  <c r="W9" i="1"/>
  <c r="AA14" i="1"/>
  <c r="G13" i="3" s="1"/>
  <c r="BB17" i="1"/>
  <c r="AA10" i="1"/>
  <c r="G9" i="3" s="1"/>
  <c r="AB10" i="1"/>
  <c r="K19" i="3"/>
  <c r="X9" i="1"/>
  <c r="AD9" i="1"/>
  <c r="J14" i="1"/>
  <c r="N13" i="3" s="1"/>
  <c r="R13" i="3" s="1"/>
  <c r="H13" i="1"/>
  <c r="R13" i="1"/>
  <c r="I13" i="1" s="1"/>
  <c r="M12" i="3" s="1"/>
  <c r="Q12" i="3" s="1"/>
  <c r="I25" i="1"/>
  <c r="M24" i="3" s="1"/>
  <c r="Q24" i="3" s="1"/>
  <c r="I14" i="1"/>
  <c r="M13" i="3" s="1"/>
  <c r="Q13" i="3" s="1"/>
  <c r="M9" i="1"/>
  <c r="BB9" i="1"/>
  <c r="H9" i="3"/>
  <c r="AH9" i="1"/>
  <c r="AV17" i="1"/>
  <c r="BL9" i="1"/>
  <c r="I9" i="3"/>
  <c r="I8" i="3" s="1"/>
  <c r="AR9" i="1"/>
  <c r="AA11" i="1"/>
  <c r="G10" i="3" s="1"/>
  <c r="BL17" i="1"/>
  <c r="BR8" i="1"/>
  <c r="BQ8" i="1"/>
  <c r="BN8" i="1"/>
  <c r="BM8" i="1"/>
  <c r="R24" i="1"/>
  <c r="R22" i="1" s="1"/>
  <c r="U23" i="1"/>
  <c r="BH8" i="1"/>
  <c r="BG8" i="1"/>
  <c r="BC8" i="1"/>
  <c r="AW8" i="1"/>
  <c r="AN22" i="1"/>
  <c r="AN8" i="1" s="1"/>
  <c r="AM22" i="1"/>
  <c r="AJ22" i="1"/>
  <c r="AJ8" i="1" s="1"/>
  <c r="AI22" i="1"/>
  <c r="AI8" i="1" s="1"/>
  <c r="AD8" i="1"/>
  <c r="Y8" i="1"/>
  <c r="R20" i="1"/>
  <c r="H18" i="1"/>
  <c r="P16" i="1"/>
  <c r="P9" i="1" s="1"/>
  <c r="AO14" i="1"/>
  <c r="Q14" i="1"/>
  <c r="F13" i="3" s="1"/>
  <c r="L13" i="3" s="1"/>
  <c r="P13" i="3" s="1"/>
  <c r="R10" i="1"/>
  <c r="K23" i="1" l="1"/>
  <c r="H8" i="3"/>
  <c r="J9" i="3"/>
  <c r="J8" i="3" s="1"/>
  <c r="BF20" i="1"/>
  <c r="BF17" i="1" s="1"/>
  <c r="J19" i="3"/>
  <c r="O22" i="3"/>
  <c r="S22" i="3" s="1"/>
  <c r="K9" i="3"/>
  <c r="K8" i="3" s="1"/>
  <c r="H14" i="1"/>
  <c r="P8" i="1"/>
  <c r="AB17" i="1"/>
  <c r="BP20" i="1"/>
  <c r="I20" i="1" s="1"/>
  <c r="Q16" i="1"/>
  <c r="M8" i="1"/>
  <c r="Q10" i="1"/>
  <c r="N8" i="1"/>
  <c r="Z8" i="1"/>
  <c r="AS8" i="1"/>
  <c r="R21" i="1"/>
  <c r="I21" i="1" s="1"/>
  <c r="M20" i="3" s="1"/>
  <c r="Q20" i="3" s="1"/>
  <c r="AC8" i="1"/>
  <c r="O8" i="1"/>
  <c r="AT8" i="1"/>
  <c r="AX8" i="1"/>
  <c r="AM8" i="1"/>
  <c r="U14" i="1"/>
  <c r="R18" i="1"/>
  <c r="I18" i="1" s="1"/>
  <c r="BD8" i="1"/>
  <c r="AE14" i="1"/>
  <c r="Q15" i="1"/>
  <c r="F14" i="3" s="1"/>
  <c r="L14" i="3" s="1"/>
  <c r="P14" i="3" s="1"/>
  <c r="U20" i="1"/>
  <c r="X24" i="1"/>
  <c r="Q11" i="1"/>
  <c r="Q12" i="1"/>
  <c r="F11" i="3" s="1"/>
  <c r="W21" i="1"/>
  <c r="AA21" i="1" l="1"/>
  <c r="G20" i="3" s="1"/>
  <c r="AG21" i="1"/>
  <c r="AG17" i="1" s="1"/>
  <c r="AA24" i="1"/>
  <c r="X22" i="1"/>
  <c r="F9" i="3"/>
  <c r="Q9" i="1"/>
  <c r="BI20" i="1"/>
  <c r="H11" i="1"/>
  <c r="F10" i="3"/>
  <c r="L10" i="3" s="1"/>
  <c r="P10" i="3" s="1"/>
  <c r="H16" i="1"/>
  <c r="F15" i="3"/>
  <c r="L15" i="3" s="1"/>
  <c r="P15" i="3" s="1"/>
  <c r="G16" i="3"/>
  <c r="L9" i="3"/>
  <c r="P9" i="3" s="1"/>
  <c r="L19" i="3"/>
  <c r="M19" i="3"/>
  <c r="Q19" i="3" s="1"/>
  <c r="AE20" i="1"/>
  <c r="I10" i="1"/>
  <c r="M9" i="3" s="1"/>
  <c r="Q9" i="3" s="1"/>
  <c r="K14" i="1"/>
  <c r="O13" i="3" s="1"/>
  <c r="U10" i="1"/>
  <c r="H10" i="1"/>
  <c r="Q17" i="1"/>
  <c r="R17" i="1"/>
  <c r="AK21" i="1"/>
  <c r="H20" i="3" s="1"/>
  <c r="H16" i="3" s="1"/>
  <c r="W17" i="1"/>
  <c r="U21" i="1"/>
  <c r="R15" i="1"/>
  <c r="BS20" i="1"/>
  <c r="BP17" i="1"/>
  <c r="AE10" i="1"/>
  <c r="R16" i="1"/>
  <c r="AE11" i="1"/>
  <c r="R12" i="1"/>
  <c r="AB9" i="1"/>
  <c r="AA12" i="1"/>
  <c r="AA17" i="1"/>
  <c r="W8" i="1"/>
  <c r="R11" i="1"/>
  <c r="U24" i="1"/>
  <c r="U22" i="1" s="1"/>
  <c r="AH24" i="1"/>
  <c r="AK24" i="1" s="1"/>
  <c r="H23" i="3" s="1"/>
  <c r="H21" i="3" s="1"/>
  <c r="X8" i="1"/>
  <c r="U18" i="1"/>
  <c r="P19" i="3" l="1"/>
  <c r="G23" i="3"/>
  <c r="G21" i="3" s="1"/>
  <c r="AA22" i="1"/>
  <c r="I11" i="1"/>
  <c r="M10" i="3" s="1"/>
  <c r="Q10" i="3" s="1"/>
  <c r="R9" i="1"/>
  <c r="K20" i="1"/>
  <c r="O19" i="3" s="1"/>
  <c r="S19" i="3" s="1"/>
  <c r="H7" i="3"/>
  <c r="H6" i="3" s="1"/>
  <c r="AA9" i="1"/>
  <c r="G11" i="3"/>
  <c r="I16" i="1"/>
  <c r="M15" i="3" s="1"/>
  <c r="Q15" i="3" s="1"/>
  <c r="F8" i="3"/>
  <c r="F7" i="3" s="1"/>
  <c r="F6" i="3" s="1"/>
  <c r="I17" i="1"/>
  <c r="M17" i="3"/>
  <c r="K10" i="1"/>
  <c r="O9" i="3" s="1"/>
  <c r="S15" i="1"/>
  <c r="T15" i="1" s="1"/>
  <c r="T13" i="1" s="1"/>
  <c r="U17" i="1"/>
  <c r="K18" i="1"/>
  <c r="O17" i="3" s="1"/>
  <c r="U12" i="1"/>
  <c r="AQ21" i="1"/>
  <c r="AU21" i="1" s="1"/>
  <c r="I20" i="3" s="1"/>
  <c r="U16" i="1"/>
  <c r="K16" i="1" s="1"/>
  <c r="O15" i="3" s="1"/>
  <c r="R8" i="1"/>
  <c r="Q8" i="1"/>
  <c r="AE12" i="1"/>
  <c r="AE9" i="1" s="1"/>
  <c r="U11" i="1"/>
  <c r="AL15" i="1"/>
  <c r="AL9" i="1" s="1"/>
  <c r="AB8" i="1"/>
  <c r="AG8" i="1"/>
  <c r="AL24" i="1"/>
  <c r="AH22" i="1"/>
  <c r="AH8" i="1" s="1"/>
  <c r="AR24" i="1"/>
  <c r="AU9" i="1"/>
  <c r="H12" i="1"/>
  <c r="AO11" i="1"/>
  <c r="AE24" i="1"/>
  <c r="AE22" i="1" s="1"/>
  <c r="AE21" i="1"/>
  <c r="AE17" i="1" s="1"/>
  <c r="T8" i="1" l="1"/>
  <c r="T9" i="1"/>
  <c r="AU24" i="1"/>
  <c r="AU22" i="1" s="1"/>
  <c r="AR22" i="1"/>
  <c r="S17" i="3"/>
  <c r="M16" i="3"/>
  <c r="Q16" i="3" s="1"/>
  <c r="Q17" i="3"/>
  <c r="AL22" i="1"/>
  <c r="AL8" i="1" s="1"/>
  <c r="I23" i="3"/>
  <c r="I16" i="3"/>
  <c r="G8" i="3"/>
  <c r="G7" i="3" s="1"/>
  <c r="G6" i="3" s="1"/>
  <c r="L11" i="3"/>
  <c r="U15" i="1"/>
  <c r="U9" i="1" s="1"/>
  <c r="U8" i="1" s="1"/>
  <c r="S13" i="1"/>
  <c r="S9" i="1" s="1"/>
  <c r="J15" i="1"/>
  <c r="N14" i="3" s="1"/>
  <c r="R14" i="3" s="1"/>
  <c r="I12" i="1"/>
  <c r="M11" i="3" s="1"/>
  <c r="Q11" i="3" s="1"/>
  <c r="AK9" i="1"/>
  <c r="BA21" i="1"/>
  <c r="BE21" i="1" s="1"/>
  <c r="J20" i="3" s="1"/>
  <c r="J16" i="3" s="1"/>
  <c r="AQ17" i="1"/>
  <c r="AO21" i="1"/>
  <c r="AO17" i="1" s="1"/>
  <c r="AK17" i="1"/>
  <c r="AE8" i="1"/>
  <c r="AA8" i="1"/>
  <c r="AO12" i="1"/>
  <c r="K12" i="1" s="1"/>
  <c r="O11" i="3" s="1"/>
  <c r="BF9" i="1"/>
  <c r="BE9" i="1"/>
  <c r="AY11" i="1"/>
  <c r="AO15" i="1"/>
  <c r="AV24" i="1"/>
  <c r="AV22" i="1" s="1"/>
  <c r="AU8" i="1"/>
  <c r="AR8" i="1"/>
  <c r="BB24" i="1"/>
  <c r="BB22" i="1" s="1"/>
  <c r="AQ8" i="1"/>
  <c r="AV9" i="1"/>
  <c r="AO24" i="1"/>
  <c r="AO22" i="1" s="1"/>
  <c r="AK22" i="1"/>
  <c r="L8" i="3" l="1"/>
  <c r="P8" i="3" s="1"/>
  <c r="P11" i="3"/>
  <c r="I21" i="3"/>
  <c r="I7" i="3" s="1"/>
  <c r="I6" i="3" s="1"/>
  <c r="AY24" i="1"/>
  <c r="AY22" i="1" s="1"/>
  <c r="BL24" i="1"/>
  <c r="BE24" i="1"/>
  <c r="BO9" i="1"/>
  <c r="S8" i="1"/>
  <c r="J13" i="1"/>
  <c r="AK8" i="1"/>
  <c r="AK3" i="1" s="1"/>
  <c r="I15" i="1"/>
  <c r="BK21" i="1"/>
  <c r="BO21" i="1" s="1"/>
  <c r="K20" i="3" s="1"/>
  <c r="K16" i="3" s="1"/>
  <c r="BA17" i="1"/>
  <c r="AY21" i="1"/>
  <c r="AU17" i="1"/>
  <c r="BK8" i="1"/>
  <c r="BS11" i="1"/>
  <c r="AV8" i="1"/>
  <c r="AY9" i="1"/>
  <c r="AT3" i="1"/>
  <c r="BI11" i="1"/>
  <c r="BA8" i="1"/>
  <c r="BF24" i="1"/>
  <c r="BF22" i="1" s="1"/>
  <c r="BB8" i="1"/>
  <c r="AO8" i="1"/>
  <c r="J23" i="3" l="1"/>
  <c r="J21" i="3" s="1"/>
  <c r="J7" i="3" s="1"/>
  <c r="J6" i="3" s="1"/>
  <c r="BE22" i="1"/>
  <c r="BO24" i="1"/>
  <c r="BL22" i="1"/>
  <c r="BL8" i="1" s="1"/>
  <c r="L20" i="3"/>
  <c r="L16" i="3" s="1"/>
  <c r="I9" i="1"/>
  <c r="M14" i="3"/>
  <c r="I24" i="1"/>
  <c r="BP24" i="1"/>
  <c r="J9" i="1"/>
  <c r="J8" i="1" s="1"/>
  <c r="N12" i="3"/>
  <c r="AY8" i="1"/>
  <c r="H24" i="1"/>
  <c r="H22" i="1" s="1"/>
  <c r="BI9" i="1"/>
  <c r="H15" i="1"/>
  <c r="H9" i="1" s="1"/>
  <c r="K15" i="1"/>
  <c r="O14" i="3" s="1"/>
  <c r="AY17" i="1"/>
  <c r="K11" i="1"/>
  <c r="H21" i="1"/>
  <c r="H17" i="1" s="1"/>
  <c r="BK17" i="1"/>
  <c r="BI21" i="1"/>
  <c r="BI17" i="1" s="1"/>
  <c r="BE17" i="1"/>
  <c r="BS24" i="1"/>
  <c r="BS22" i="1" s="1"/>
  <c r="BF8" i="1"/>
  <c r="BI24" i="1"/>
  <c r="BI22" i="1" s="1"/>
  <c r="K23" i="3" l="1"/>
  <c r="BO22" i="1"/>
  <c r="BO8" i="1" s="1"/>
  <c r="BO3" i="1" s="1"/>
  <c r="BP22" i="1"/>
  <c r="BP8" i="1" s="1"/>
  <c r="N8" i="3"/>
  <c r="N7" i="3" s="1"/>
  <c r="N6" i="3" s="1"/>
  <c r="R12" i="3"/>
  <c r="P20" i="3"/>
  <c r="M8" i="3"/>
  <c r="Q8" i="3" s="1"/>
  <c r="Q14" i="3"/>
  <c r="R8" i="3"/>
  <c r="R7" i="3" s="1"/>
  <c r="R6" i="3" s="1"/>
  <c r="H8" i="1"/>
  <c r="K24" i="1"/>
  <c r="K9" i="1"/>
  <c r="O10" i="3"/>
  <c r="O8" i="3" s="1"/>
  <c r="I22" i="1"/>
  <c r="I8" i="1" s="1"/>
  <c r="M23" i="3"/>
  <c r="BS9" i="1"/>
  <c r="BS8" i="1" s="1"/>
  <c r="BS21" i="1"/>
  <c r="BS17" i="1" s="1"/>
  <c r="BO17" i="1"/>
  <c r="BE8" i="1"/>
  <c r="BE3" i="1" s="1"/>
  <c r="BI8" i="1"/>
  <c r="K21" i="3" l="1"/>
  <c r="K7" i="3" s="1"/>
  <c r="K6" i="3" s="1"/>
  <c r="L23" i="3"/>
  <c r="P16" i="3"/>
  <c r="M21" i="3"/>
  <c r="Q23" i="3"/>
  <c r="O23" i="3"/>
  <c r="K22" i="1"/>
  <c r="K21" i="1"/>
  <c r="L21" i="3" l="1"/>
  <c r="P23" i="3"/>
  <c r="O21" i="3"/>
  <c r="S21" i="3" s="1"/>
  <c r="S23" i="3"/>
  <c r="Q21" i="3"/>
  <c r="Q7" i="3" s="1"/>
  <c r="Q6" i="3" s="1"/>
  <c r="M7" i="3"/>
  <c r="M6" i="3" s="1"/>
  <c r="K17" i="1"/>
  <c r="K8" i="1" s="1"/>
  <c r="O20" i="3"/>
  <c r="P21" i="3" l="1"/>
  <c r="P7" i="3" s="1"/>
  <c r="P6" i="3" s="1"/>
  <c r="L7" i="3"/>
  <c r="L6" i="3" s="1"/>
  <c r="S20" i="3"/>
  <c r="O16" i="3"/>
  <c r="S16" i="3" l="1"/>
  <c r="S7" i="3" s="1"/>
  <c r="S6" i="3" s="1"/>
  <c r="O7" i="3"/>
  <c r="O6" i="3" s="1"/>
</calcChain>
</file>

<file path=xl/sharedStrings.xml><?xml version="1.0" encoding="utf-8"?>
<sst xmlns="http://schemas.openxmlformats.org/spreadsheetml/2006/main" count="368" uniqueCount="178">
  <si>
    <t>TABELA 1</t>
  </si>
  <si>
    <t>Nr.</t>
  </si>
  <si>
    <t xml:space="preserve">Institucionet pergjegjese </t>
  </si>
  <si>
    <t>Burimi i mbulimit</t>
  </si>
  <si>
    <t>Hendeku financiar</t>
  </si>
  <si>
    <t>Afati Fillimit</t>
  </si>
  <si>
    <t>Afati Mbarimit</t>
  </si>
  <si>
    <t>Financim i Huaj</t>
  </si>
  <si>
    <t>A.2</t>
  </si>
  <si>
    <t>III. PROGRAMI BUXHETOR 1 QE KONTRIBUON PER QELLIMIN E POLITIKES (Shkruaj emrin e programit të PBA qe kontribuon ne arritjen e qellimit të politikes)  (Konsideroni qe nje Qellim Politike mund të zbatohet permes me shume se nje programi buxheti) Ne rastin e Dokumentit të Politikes PAK të shqyrtohet nese Qellimi i Politikes financohet nga nje Program apo nga disa programe buxhetore.</t>
  </si>
  <si>
    <t>Buxhet Shtëti</t>
  </si>
  <si>
    <t>TOTALI</t>
  </si>
  <si>
    <t xml:space="preserve">Planit Kombëtar të Moshimit 2025-2030
</t>
  </si>
  <si>
    <t xml:space="preserve">I. QELLIMI STRATEGJIK . </t>
  </si>
  <si>
    <t xml:space="preserve">(MEKI, ISSH) </t>
  </si>
  <si>
    <t xml:space="preserve">Afati i zbatimit </t>
  </si>
  <si>
    <t xml:space="preserve">Kosto indikative (ne mije lekë) </t>
  </si>
  <si>
    <t xml:space="preserve">Rezultat duhet te jene te matshme te shtrira ne kohe, </t>
  </si>
  <si>
    <t>Detajim aktivitetesh bazë Rezultateve</t>
  </si>
  <si>
    <t xml:space="preserve">QËLLIMI I POLITIKËS A:Krijimi i një mjedisi mundësues , për një jetë dinjitoze për gratë dhe burrat e moshuar të moshës 60 vjeç + .
</t>
  </si>
  <si>
    <r>
      <t xml:space="preserve">Objektivi Specifik A.1: </t>
    </r>
    <r>
      <rPr>
        <sz val="12"/>
        <color rgb="FF000000"/>
        <rFont val="Times New Roman"/>
        <family val="1"/>
      </rPr>
      <t xml:space="preserve">Promovimi i pavarësisë financiare për burrat dhe gratë e moshës së tretë : Të krijohen mundësi që të moshuarit të kenë burime të mjaftueshme financiare dhe mbështetje ekonomike përmes pensioneve dhe mundësive për punësim të mundshëm.
</t>
    </r>
  </si>
  <si>
    <t>(MEKI, Inspektoriati i punës dhe shërbimeve shoqërore , ISSH)</t>
  </si>
  <si>
    <t>A.1.1</t>
  </si>
  <si>
    <t>A.1.2</t>
  </si>
  <si>
    <t>A.1.3</t>
  </si>
  <si>
    <t xml:space="preserve">•Të paktën 2 banka të nivelit të dytë kanë ofruar kritere  lehtësuese për individët e moshës së tretë që aplikojnë për kredi .
• Të paktën 2 Shoqëri private sigurimi kanë prodhuar policat sigurimi shëndeti dhe jete me krieret të barabarta 
</t>
  </si>
  <si>
    <t>MSHMS+MF+Banka e Shqipërisë</t>
  </si>
  <si>
    <t xml:space="preserve">•Krijimi  i një fondi kontigjence për mbrojtjen e të moshurave në rastet e krizave </t>
  </si>
  <si>
    <t>(MSHMS+Bashkitë)</t>
  </si>
  <si>
    <t xml:space="preserve">( MSHMS+MF+Bashkitë) </t>
  </si>
  <si>
    <t xml:space="preserve">Ministria e Bujqësisë , Agjencia e Zhvillimit Bujqësor dhe Rural </t>
  </si>
  <si>
    <t xml:space="preserve">•100% e aplikantëve të moshuar përfitues  nga grantet e AZHBR.
•50% e bashkive kanë përfshirë në planet sociale lokale aktivitetin e të moshuarve në rehabilitimin e hapësirave të gjelbëra në pronësi të bashkive.  
</t>
  </si>
  <si>
    <t xml:space="preserve">• 2 Ndërrmarje sociale që ofrojnë shërbime për moshën e tretë të financuara
• 25 të moshuar përfitues të skemës NE të punësuar në ndërrmarje sociale 
</t>
  </si>
  <si>
    <t xml:space="preserve"> (MSHMS)</t>
  </si>
  <si>
    <t>A.2.1</t>
  </si>
  <si>
    <t>( MSHMS -SHSSH-Bashkitë  )</t>
  </si>
  <si>
    <t>A.2.2</t>
  </si>
  <si>
    <t>Shpenzime paga + sig shoqerore</t>
  </si>
  <si>
    <t>Shpenzime operative</t>
  </si>
  <si>
    <t>kosulenca Studime</t>
  </si>
  <si>
    <t>Investime</t>
  </si>
  <si>
    <t>Totali</t>
  </si>
  <si>
    <t>Financuar nga buxheti</t>
  </si>
  <si>
    <t>Financuar nga donatori BB</t>
  </si>
  <si>
    <t>Donatore UN etc</t>
  </si>
  <si>
    <t>hendeku financiar</t>
  </si>
  <si>
    <t>Financuar nga donatori (BB)</t>
  </si>
  <si>
    <t>Year 1 2025</t>
  </si>
  <si>
    <t>Year 2 (2026)</t>
  </si>
  <si>
    <t>Year 3 (2027)</t>
  </si>
  <si>
    <t>Year 4 (2028)</t>
  </si>
  <si>
    <t>Year 5 (2029)</t>
  </si>
  <si>
    <t>Year 6 (2030)</t>
  </si>
  <si>
    <t xml:space="preserve"> Rishikimi  i Ligjit nr. 104/2014, “Për disa ndryshime dhe shtesa në ligjin nr. 7703, datë 11.5.1993, “Për sigurimet shoqërore në Republikën e Shqipërisë”, i ndryshuar.   •Rritja në masën 50 % e pensionit mesatar .
•Përfitimi i pensionit të trembëdhjetë 
•Miratimi i formulës së indeksimit të diferencuar të pensioneve 
•Rritja e moshës së daljes në pension
•Rritja 100 % e numrit të përfituesve të pensionit social 
•Firmosja e Marëveshjes së Pensioneve me Greqinë
</t>
  </si>
  <si>
    <t xml:space="preserve"> •Ngritja e nje grupi me Specialist të Nivel Drejtues te larte 6 persona *250 000 leke/ muaj 4 muaj , per ndryshimet ligjore, miratimin e formules dhe hartimin e marreveshjes 
• Rrita ne masen 50% te pensionit mesatr eshte e perafert konsideruar ( nga raporti I monitorimit per vitin 2023 nr I pensionisteve 704 900 me vl mestare /mujore 16530 ) . parashikimi per 2026 (Kosto e perfitimi i pensionit te 13 do te rishikohet kur te miratohet ligji 
• Perfitimi 100% e nr te pensioneve sociale</t>
  </si>
  <si>
    <t>• Stimuj mund te parashikohet 5000 leke/muaj x12 muaj 
• Per subjektet private eshte I veshtire kostimi</t>
  </si>
  <si>
    <t>•Llogaritja  ekostove do te behet pasi te jene kryer ndryshimi politikave te institucioneve bankare duke qene se jane institucione private</t>
  </si>
  <si>
    <t>• Studim ne lidhje me llogaritje e efetit ekonomik per perjashtimin e takses mbi pronen ( 2 experte x 10 dite x 25000 leke/dite) + Grupi I punes ndersektorial 5 persona x 200000 lek/muaj x 2 muaj)</t>
  </si>
  <si>
    <t>• Ngritja e nje grupi te punes per llogaritjen e fodnit te kontigjences 250 000 leke/ muaj 2 muaj*3 persona , per hartimin e nje plani dhe llogaritjen e kostos 
• efekti financiar do te rishikohet pas hartimit te planit</t>
  </si>
  <si>
    <t xml:space="preserve">• Studim ne lidhje me llogaritjet e efektit ekonomik per aplikantet e moshuar dhe perfitues nga AZHBR  (Grupi I punes ndersektorial 3 persona x 200000 lek/muaj x 1 muaj), me tej te rishikohen llogaritjet
</t>
  </si>
  <si>
    <t xml:space="preserve">• Bazuar ne PBA Fakti 2024=  kodi91307AG - Persona nga grupet e pafavorizuara të punësuar nga ndërrmarjet sociale, kosto per njesi eshte 1265964.27 x 25 </t>
  </si>
  <si>
    <t xml:space="preserve">• Krijimi i një grupi pune për koordinimin e sektorëve social dhe shëndetësor, si  dhe Operatorëve dhe Bashkive, i udhëhequr nga MSHMS;  
•Të paktën 300 profesionistë (kujdestarë/ndihmës personal )të liçensuar për shërbime të kujdesit afatgjatë.
• Fond i dedikuar në buxhetin e shtetit dhe buxhetet e bashkive apo financimet e BE për kujdesin afatgjatë .  
• Kryerja e kontrollit mjekësor bazë edhe për moshën 70+                           
</t>
  </si>
  <si>
    <t>•Krijimi i një grupi pune për koordinimin e sektorëve social dhe shëndetësor, si  dhe Operatorëve dhe Bashkive, i udhëhequr nga MSHMS ( 10 persona x 10 dit pune/vitx paga 170 000 leke/ muaj) (2025-2030)
•Të paktën 300 profesionistë (kujdestarë/ndihmës personal )të liçensuar për shërbime të kujdesit afatgjatë te paktën 50 per cdo vit x 15000 leke/ certifikimi
•Fond i dedikuar në buxhetin e shtetit dhe buxhetet e bashkive apo financimet e BE për kujdesin afatgjatë .  
•Kryerja e kontrollit mjekësor bazë edhe për moshën 70+      ( rritja 70-75 sipas census 2021 perreth 120 000 ne dy vitet e para 2026-2027 dhe 75+ te shtohen pas 2028    rreth 174 000 perosna te tjere)</t>
  </si>
  <si>
    <t xml:space="preserve">•Ngritja e Këshillit Kombëtar dhe/ose Lokal i të Moshuarve me përfshirjen e përfaqësuesve të grupit të interesit 
• Ngritja e Nënkomitetit parlamentar për Plakjen
•Ngritja dhe funksionimi i Njësive të Vlerësimit të Nevojave në 61 Bashki  
•Ngritja e kapaciteteve të pikave fokale për moshën e tretë në nivel qendror dhe vendor
</t>
  </si>
  <si>
    <t>VITET</t>
  </si>
  <si>
    <t>Buxhet Shtetit (000/ALL)</t>
  </si>
  <si>
    <t>Financim i Huaj (000/ALL)</t>
  </si>
  <si>
    <t>Burimi i mbulimit (në 000/ ALL)</t>
  </si>
  <si>
    <t xml:space="preserve">Kosto indikative
 (në 000/ ALL) </t>
  </si>
  <si>
    <t>Hendeku financiar
 (në 000/ ALL)</t>
  </si>
  <si>
    <t>QËLLIMI I POLITIKËS A:Krijimi i një mjedisi mundësues , për një jetë dinjitoze për gratë dhe burrat e moshuar të moshës 60 vjeç + .</t>
  </si>
  <si>
    <t xml:space="preserve">•Ngritja e Këshillit Kombëtar dhe/ose Lokal i të Moshuarve me përfshirjen e përfaqësuesve të grupit të interesit (10 persona x170 000 leke/ muaj x 1 muaj punë/gjatë vitit
• Ngritja e Nënkomitetit parlamentar për Plakjen (5 persona x20 dite pune/vit x 250000 leke/muaj)
•Ngritja dhe funksionimi i Njësive të Vlerësimit të Nevojave në 61 Bashki  (5 persona x 90 000 leke/muaj)
•Ngritja e kapaciteteve të pikave fokale për moshën e tretë në nivel qendror dhe vendor (Trajnime të shkurtra (1-2 ditë):  trainime 10 bashki cdo vit Lum sum trainimi 200 000 leke)
</t>
  </si>
  <si>
    <t>kosulenca, Studime, trainime</t>
  </si>
  <si>
    <t xml:space="preserve">•Përgatitja e një studimi të detajuar si fazë e parë për zhvillimin e llogarive kombëtare të transfertave . </t>
  </si>
  <si>
    <t xml:space="preserve">INSTAT+ MF + Partnerë Ndërkombëtarë </t>
  </si>
  <si>
    <t>Përgatitja e një studimi të detajuar si fazë e parë për zhvillimin e llogarive kombëtare të transfertave . 
• Lum sum 4 000 000</t>
  </si>
  <si>
    <t>MSHMS +SHSSH+BASHKITË+AMA</t>
  </si>
  <si>
    <t>• 3 fushata sensibilizuese /vit 
•1 emision televiziv/muaj i dedikuar për moshimin 
•  Miratimi i kodit të sjelljes për kujdestarët e të moshuarve</t>
  </si>
  <si>
    <t>•Puna e nje grupi pune per pormocionin 5 persona x 20 dite /pune *170 000 lek/muaj
•Broshura, fletëpalosje, postera (10 000 cope *10 leke/cope)
•Video sensibilizuese (TV dhe rrjete sociale) = 400 000 Leke
•Grafika për rrjetet sociale dhe web ( lum sum 100 000 leke)
• Kosto e prodhimit te nje emisioni gjate muajit sensibilizues (Lum Sum 2 000 000 leke)
• grup ekspertesh per hartimin e kodit te sjellej per kujdestaret e te moshuarve ( 2026-2027) (10 dite pune x 3 experte x 30 000 leke/dite)</t>
  </si>
  <si>
    <t xml:space="preserve">•3 fushata sociale çdo vit .
• 500 të moshuar të përfshirë në dialogun për plakjen. 
• 10-15 influencer dhe mbi 50 profesionistë apo punonjës të institucioneve në nivel qendror dhe lokal të përfshirë në dialog.  
</t>
  </si>
  <si>
    <t>Lum Sum 10 000 000 Leke /vit me nje rritje 20% cdo vit ( duke konsideruar 50% nga donatore ose bizneset lokale)</t>
  </si>
  <si>
    <t xml:space="preserve">•3 aktivitete / vit në cdo bashki. 30-40 pjesëmarrës të moshuar pjesëmarrës për secilin aktivitet nga të cilët 50% gra . 
•  Numri i publikimeve dhe përhapja e mesazheve të forumit apo ngjarjes në media (si gazeta, televizion, platforma online) mund të tregojë se sa është shpërndarë informacioni për plakjen në nivelin më të gjerë
</t>
  </si>
  <si>
    <t xml:space="preserve">• Organizimi i punes nga stafi i bashkise mesatrisht 5 persona per bashki x10 dite pune x 100000 leke/ muaj
•3 aktivitete / vit në cdo bashki. 30-40 pjesëmarrës të moshuar pjesëmarrës për secilin aktivitet nga të cilët 50% gra . (1 aktivitet Lum sum 200 000 leke *3 *61 bashki) (mund ta realizojne me fondet e bashkise dhe 50% donatore)
• Numri i publikimeve dhe përhapja e mesazheve të forumit apo ngjarjes në media (si gazeta, televizion, platforma online) mund të tregojë se sa është shpërndarë informacioni për plakjen në nivelin më të gjerë
</t>
  </si>
  <si>
    <t>MSHMS ;BASHKI</t>
  </si>
  <si>
    <t>(MSHMS +MAS )</t>
  </si>
  <si>
    <t xml:space="preserve">•Krijimi i një modeli të  Universitetit për të Moshuarit në Tiranë 
• 80 individë të moshuar ndjekin kurset e Universitetit 
</t>
  </si>
  <si>
    <t xml:space="preserve">( MSHMS+MAS+ OJF ) </t>
  </si>
  <si>
    <t xml:space="preserve">•Celja e një kursi këshillimi për familjarët që kanë në shtëpi të moshuar/ 300 familjarë përfitojnë licensën e kujdestarit /ndihmës personal
</t>
  </si>
  <si>
    <t xml:space="preserve">• 500 institucione kanë filluar t’i aplikojnë instruksionet/standartet për personat mbi 70 vjeç për parandalimin e rrëzimeve të të moshuarve  500 pajisje të shpërndara.
• 80 % e personave mbi 50 vjeç ka kryer të paktën një ekzaminim për hipertensionin dhe diabetin
• 50% e popullatës mbi 50 vjeç ka kryer pyetësorin e depresionit në programin e kontrollit bazë shëndetësor.
</t>
  </si>
  <si>
    <t>•Krijimi i nje grupi pune per hartimin e modelit 2026 ( 10 persona *200 000 leke/ muaj *1 muaj pune)
• hartimi i kurikulave per 4 kurse ( 4 kurikula x 6000 000 leke/kurikul  2026-2027 
• krijimi I infrastruktures ose marjje me qira e ambienteve 100 000 Leke/ muaj kur nuk shfrytezohen ambientet publike
•Investimi dhe paisjet 600 000 leke Vitin e pare 2027
•Staf akademike (10 kurse, 4 orë/muaj, 5000/orë) = 10 *4 * 10 muaj = 2 000 000 ALL /vit
•Libra materilae studimi etj 300 000 ALL/vit
•Te tjera fushata sensibilizuese 200 000 ALL/Vit
* Mund te realizohen me fondet e bashkise te pushtetit qendror dhe donatore</t>
  </si>
  <si>
    <t>kosulenca, Studime, trainime etj</t>
  </si>
  <si>
    <t>MSHMS+ SHSSH+Bashkitë + Network i influencerëve</t>
  </si>
  <si>
    <t xml:space="preserve">• Krijimi i një modeli nëpërmejt zbatimit të projektit “Të birësojmë një shkollë “ </t>
  </si>
  <si>
    <t xml:space="preserve">•. Hartimi i projektit , inicimi nga MSHMS nëpërmjet nxitjes së donatorëve, partnerëve Lum sum puna e stafit 10 persona x1 muaj x 200 00 leke/ muaj viti 2026
• Përgatitja e TOR s për akademikët apo ish mësuesit , apo profesionistë që do të angazhohen në këtë projekt , puna e experteve per hartimin e udhezimeve 10 dite x 3 persona x 30 000 leke / dite vitti 2027
• Pagese incentive per te moshuarit pjesemarres 10 persona cdo vit x 100 000 leke/ vit (filllon nga 2027)
• Shpenzime te tjera transporti , aktivtete Lum sum 100 000 leke/vit
</t>
  </si>
  <si>
    <t>• Puna pergatitore e stafit eksperte 10 x 1 muaj x 200 000 AlLL/muaj per vitin 2026
• Ambiente me qira 2 salla x 50000 leke/muaj
•Materiale per kurset 60 persona cdo vit duke filluar nga 2026 x 1000 ALL per person = 60 000 ALL/vit
•Trainere dhe pedagoge per 20 -30 ore trainimi x 5000 ALL/ore =150  000 ALL/vit
•Certifikata dhe licencimi 60*15000 ALL/per person
• te tjera administrative Lum sum 200 000 /vit</t>
  </si>
  <si>
    <t>MSHMS +SHSSH+BASHKITË+AMA+ Network I influencërve</t>
  </si>
  <si>
    <t>MSHMS ,MEKI, IPSH,ISSH,MF, BSH, AZHBR, MB</t>
  </si>
  <si>
    <t xml:space="preserve">( MSHMS+ Operatori i Shërbimeve të Kujdesit Shëndetësor + Shërbimi Social Shoqëror+Agjencia për Sigurimin e Cilësisë së Kujedist  Shëndetësore dhe Shoqërore) </t>
  </si>
  <si>
    <t>MSHMS,QSUT,FDSKSH</t>
  </si>
  <si>
    <t>MSHMS,SHSSH&lt;ISKSH&lt;OSHKSH, SHSSH, ASCK,QSUT,FDSKSH</t>
  </si>
  <si>
    <t>MSHMS,MAS,OJF,BASHKI</t>
  </si>
  <si>
    <t>( MSHMS+MAS+ OJF ) +Bashki</t>
  </si>
  <si>
    <t>MSHMS,MAS, OJF, BASHKI</t>
  </si>
  <si>
    <t xml:space="preserve">Kosto indikative
 (në EURO) </t>
  </si>
  <si>
    <t>Burimi i mbulimit (në EURO)</t>
  </si>
  <si>
    <t>Buxhet Shtetit (EURO)</t>
  </si>
  <si>
    <t>Financim i Huaj (EURO)</t>
  </si>
  <si>
    <t>Hendeku financiar
 (në EURO)</t>
  </si>
  <si>
    <t>MSHMS,SHSSH,ISKSH,OSHKSH, SHSSH, ASCK,QSUT,FDSKSH</t>
  </si>
  <si>
    <t xml:space="preserve">( MSHMS+ Operatori i Shërbimeve të Kujdesit Shëndetësor + Shërbimi Social Shoqëror+Agjencia për Sigurimin e Cilësisë së Kujdesit  Shëndetësore dhe Shoqërore) </t>
  </si>
  <si>
    <t xml:space="preserve">• Të paktën 30 000 individë kontribues në moshë pensioni kontribues përfitojnë nga stimujt .
•300 subjekte private të kenë krijuar kushtet për punësim të përshtatshëm për të moshuarit 
• Mbledhja e praktikave pozitive dhe orgnizimi i një dialogu publik mbi praktikat pozitive çdo vit </t>
  </si>
  <si>
    <t xml:space="preserve">•100% e pensonistëve që marrin pensionin social apo minimal përjashtohen nga taksa mbi pronën dhe përfshihen ne listën e klientit në nevojë 
• Të gjithë pensionistët përfitojnë kartën e pensionistit nga pushteti lokal 
••Heqja e taksës vjetore për automjetet vetiake të të moshuarve 65+ dhe reduktimi i gjobave dhe kamatvonesave </t>
  </si>
  <si>
    <t>kosulenca Studime, trainime</t>
  </si>
  <si>
    <t xml:space="preserve">kosulenca Studime. Trainime </t>
  </si>
  <si>
    <t xml:space="preserve">kosulenca Studime, trainime </t>
  </si>
  <si>
    <t xml:space="preserve">• Të paktën 300 të moshuar çdo vit do të marrin shërbime në qendrat rezidenciale për të moshuar ( sipas kodit te PBA  91307AK - Të moshuar të trajtuar me shërbime të përkujdesit Me nje rritje 5% buxhetore pas vitit 2027 (mbeshtetur ne PBA 2025-2027 )
Rritja me 100% e numrit të shërbimeve  në shtëpi të financuara nga Fondi Social. 
• Rritja me 50% e numrit të përfituesve të shërbimeve të kujdesit shëndetësor dhe shoqëror për të moshuarit .
• 350 Ndihmës personalë për të moshuar të kualifikuar dhe liçensuar.
</t>
  </si>
  <si>
    <t xml:space="preserve">kosulenca Studime,trainime </t>
  </si>
  <si>
    <t>•Buxheti I Fondit social vetem per moshen e trete ne vitin 2024 fakti ka qene 86 323 000 leke, rritja me 10% e tyre 
• 70 persona te licencuar me nje kosto vjetore  15000 leke/ muaj cdo vit duke filluar nga 2026
•Të paktën 300 të moshuar çdo vit do të marrin shërbime në qendrat rezidenciale për të moshuar ( sipas kodit te PBA  91307AK - Të moshuar të trajtuar me shërbime të përkujdesit Me nje rritje 5% buxhetore pas vitit 2027 (mbeshtetur ne PBA 2025-2027 )</t>
  </si>
  <si>
    <t>• Ndërtimi i 2 Qendrave të rehabilitimit shëndetësor dhe social të quajtura “shtëpi mbështetje”, për personat me çrregullime të rënda mendore dhe 2 qendrave rezidenciale për të moshuar, (2027-2030)
•  61 Shërbime të integruara socio-shëndetësore komunitare dhe shërbime të asistencës shtëpiake për të moshuarit12 000 000 euro 
•Rehabilitimi i qendres se te moshuarve Libohove (2025)
• Hapja dhe financimi i 2 klinikave për kujdesin oral dhe  2  klinikave për kujdesin e shëndetit të syve në spitalet rajonale 
•  1500 punonjës të KSHP kanë kryer trainimet  e nevojshme dhe kanë marrë njohuritë për të trajtuar individët e moshës së tretë</t>
  </si>
  <si>
    <r>
      <t xml:space="preserve">• Ndërtimi i 2 Qendrave të rehabilitimit shëndetësor dhe social të quajtura “shtëpi mbështetje”, për personat me çrregullime të rënda mendore dhe 2 qendrave rezidenciale për të moshuar, dhe dhe 2 qendrave rezidenciale për të moshuar, gjatë periudhës 2027-2030. (mestarisht i marre nga VKM nr 533 date12.08.2024 </t>
    </r>
    <r>
      <rPr>
        <sz val="11"/>
        <color rgb="FF000000"/>
        <rFont val="Times New Roman"/>
        <family val="1"/>
      </rPr>
      <t>PËR NJË NDRYSHIM NË VENDIMIN NR. 161, DATË 20.3.2024, TË KËSHILLIT
TË MINISTRAVE, “PËR MIRATIMIN E DOKUMENTIT TË POLITIKAVE
PRIORITARE 2025–2027
• 61 Shërbime të integruara socio-shëndetësore komunitare dhe shërbime të asistencës shtëpiake për të moshuarit (planet e bashkive kane filluar identifikimi me nje mestare te 25% te bashkive qe kane sjelle informacion) per cdo vit rritje me 25% deri ne realiizmin 100% te bashkive (kosto eshte mestare e vlreseuar (55 300 000 Total per 15 bashki
•Rehabilitimi i qendres se te moshuarve Libohove PBA 2025-2028 18BC011 - Nderhyrje ne shtepine e te moshuarve Libohove ( 3 520 000)
•Hapja dhe financimi i dy klinikave Studim fisibiliteti gjate 2026 per te llogaritur financimin dhe burimet e tjera te nevojshme Viti 2026 Grup pune 10 perosna x 200 000 Leke/ muaj x 1 muaj
•   1500 punonjës të KSHP kanë kryer trainimet  e nevojshme dhe kanë marrë njohuritë për të trajtuar individët e moshës së tretë ( 5 000 leke/perosni ) Per 6 vite nga 250 persona cdo vit) duhet pare kosto ne momentin e hartimit te trainimit</t>
    </r>
  </si>
  <si>
    <t xml:space="preserve">•30% cdo vit  e bashkive kanë përfshirë në planet dhe programet e tyre hapa konkrete për përfshirjen e të moshuarve në jetën komunitare dhe kanë inciativën Qytetet dhe Komunitetet Miqësore të Moshave.  
• Në çdo bashki janë regjistruar jo më pak se 20 vullnetarë dhe 3 organizata të shoqërisë civile që punojnë me të moshuarit duke zhvilluar kështu edhe partneritetin shtet -shoqëri civile .  
• Në çdo bashki do të zhvillohet çdo vit një aktivitet sportiv dhe një aktivitet artistik për moshën e tretë.( kampionat futbolli, basketbolli, shahu, dominoje, dhe/ose konkursi “Zëri më i bukur “, “Vallja më bukur “”Grupi popullor vokal më i mirë”  
</t>
  </si>
  <si>
    <t xml:space="preserve">•25% cdo vit  e bashkive kanë përfshirë në planet dhe programet e tyre hapa konkrete për përfshirjen e të moshuarve në jetën komunitare dhe kanë inciativën Qytetet dhe Komunitetet Miqësore të Moshave.  (sipas planeve sociale/sraegjike te bashkise)
• Në çdo bashki janë regjistruar jo më pak se 20 vullnetarë dhe 3 organizata të shoqërisë civile që punojnë me të moshuarit duke zhvilluar kështu edhe partneritetin shtet -shoqëri civile .  
• Në çdo bashki do të zhvillohet çdo vit një aktivitet sportiv dhe një aktivitet artistik për moshën e tretë.( kampionat futbolli, basketbolli, shahu, dominoje, dhe/ose konkursi “Zëri më i bukur “, “Vallja më bukur “”Grupi popullor vokal më i mirë” (kosto mestare e nje aktiviteti fizik/ose artistik (lum sum 300 000 leke per cdo bashki, me nje rritje prej 10% cdo vit me nje mbulese 50% nga donatore, ose bizneset lokale)
</t>
  </si>
  <si>
    <t xml:space="preserve">•Pilotim i njësive kushtuar kujdesit geriatrik në Qendrën Spitalore Universitare dhe në 2 spitale rajonale me standard orientues minimal 2 shtretër për 1 000 banorë mbi 65 vjeç, përfshirë shtretër psikiatrikë për të moshuar. Përcaktim i shtretërve kushtuar kujdesit paliativ 
• Protokolli klinik dhe udhërrëfyesi i përgatitur për shërbimet e kujdesit dentar, oftalmologjik,audiologjik dhe fizioterapeutik për të moshuarit .
• 400 qendra shëndetësore të pajisura me paketën e instrumenteve përkatëse.
</t>
  </si>
  <si>
    <t xml:space="preserve">•Nëse marrim si shembull një popullsi mbi 65 vjeç mestarisht 200,000 banorësh (Tirane+Durres)  atëherë do të nevojiten 400 shtretër (përfshirë psikiatrikët).
per ta vleresuar do ti referohemi kosto mesatare për paciente sipas 91304AC - Paciente te trajtuar ne spitalet psikiatrike, me nje vlere mestarae per njesi te : 983,140.69 ( sipas PBA 2025-2028) 
• hartimi i protokollit Lum sum1 000 000leke per cdo protokoll x 4 protokolle gjate vitit 2025-2027
• Paisja e 400 qendrave shendetesore me paketen e instrumentave (mestarisht 200 000 leke/qender ) gjate periudhes 2026-2030 (rreth 80 qendra/vit), por duhet konsideruar edhe financimi per QSH tek Strategjia e shendetsise </t>
  </si>
  <si>
    <t xml:space="preserve">
•500 institucione kanë filluar t’i aplikojnë instruksionet/standartet për personat mbi 70 vjeç për parandalimin e rrëzimeve të të moshuarve  500 pajisje të shpërndara.(Hip Protector+Bastune etj Lums sum 5000 leke/per set)
• Pwrgatitja studim vlerwsimi  (2026-2027)i 
Zbatimi i planit të promocionit shëndetësor nga Instituti Shëndettit Publik </t>
  </si>
  <si>
    <t xml:space="preserve">( MSHMS ,FDSKSH, Operatori I kujdesit Shëndetësor ) </t>
  </si>
  <si>
    <t xml:space="preserve">(  MSHMS ,FDSKSH, Operatori I kujdesit Shëndetësor  ) </t>
  </si>
  <si>
    <t>A.1</t>
  </si>
  <si>
    <r>
      <rPr>
        <b/>
        <sz val="12"/>
        <color rgb="FF000000"/>
        <rFont val="Times New Roman"/>
        <family val="1"/>
      </rPr>
      <t>Aktiviteti 1.2:</t>
    </r>
    <r>
      <rPr>
        <sz val="12"/>
        <color rgb="FF000000"/>
        <rFont val="Times New Roman"/>
        <family val="1"/>
      </rPr>
      <t xml:space="preserve"> Stimuj për kontribuesit e punësuar në sektorin privat në moshë pensioni pleqërie: </t>
    </r>
  </si>
  <si>
    <r>
      <rPr>
        <b/>
        <sz val="12"/>
        <color rgb="FF000000"/>
        <rFont val="Times New Roman"/>
        <family val="1"/>
      </rPr>
      <t>Aktiviteti 1.3</t>
    </r>
    <r>
      <rPr>
        <b/>
        <sz val="11"/>
        <color rgb="FF000000"/>
        <rFont val="Times New Roman"/>
        <family val="1"/>
      </rPr>
      <t>:</t>
    </r>
    <r>
      <rPr>
        <sz val="11"/>
        <color rgb="FF000000"/>
        <rFont val="Times New Roman"/>
        <family val="1"/>
      </rPr>
      <t xml:space="preserve"> Përmirësimi i aksesit në shërbime bankare dhe financiare: </t>
    </r>
  </si>
  <si>
    <t>A.1.4</t>
  </si>
  <si>
    <r>
      <rPr>
        <b/>
        <sz val="12"/>
        <color rgb="FF000000"/>
        <rFont val="Times New Roman"/>
        <family val="1"/>
      </rPr>
      <t xml:space="preserve">Aktiviteti 1.4 </t>
    </r>
    <r>
      <rPr>
        <sz val="12"/>
        <color rgb="FF000000"/>
        <rFont val="Times New Roman"/>
        <family val="1"/>
      </rPr>
      <t xml:space="preserve">Përgjigja ndaj krizave  
</t>
    </r>
  </si>
  <si>
    <r>
      <rPr>
        <b/>
        <sz val="12"/>
        <color rgb="FF000000"/>
        <rFont val="Times New Roman"/>
        <family val="1"/>
      </rPr>
      <t>Aktiviteti 1.5:</t>
    </r>
    <r>
      <rPr>
        <sz val="12"/>
        <color rgb="FF000000"/>
        <rFont val="Times New Roman"/>
        <family val="1"/>
      </rPr>
      <t xml:space="preserve"> Lehtësira fiskale për të moshuarit.</t>
    </r>
    <r>
      <rPr>
        <sz val="18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/>
    </r>
  </si>
  <si>
    <t>A.1.5</t>
  </si>
  <si>
    <t>A.1.6</t>
  </si>
  <si>
    <r>
      <t xml:space="preserve">Aktiviteti 1.6 </t>
    </r>
    <r>
      <rPr>
        <sz val="12"/>
        <color rgb="FF000000"/>
        <rFont val="Times New Roman"/>
        <family val="1"/>
      </rPr>
      <t>Krijimi i mundësive të punësimit në sektorët e gjelbër .</t>
    </r>
  </si>
  <si>
    <r>
      <t xml:space="preserve">Aktiviteti 1.7  </t>
    </r>
    <r>
      <rPr>
        <sz val="12"/>
        <color rgb="FF000000"/>
        <rFont val="Times New Roman"/>
        <family val="1"/>
      </rPr>
      <t>Nxitja e krijimit të ndërrmarjeve sociale si një instrument për punësim dhe vetëpunësim të të moshuarve</t>
    </r>
    <r>
      <rPr>
        <b/>
        <sz val="12"/>
        <color rgb="FF000000"/>
        <rFont val="Times New Roman"/>
        <family val="1"/>
      </rPr>
      <t xml:space="preserve"> </t>
    </r>
  </si>
  <si>
    <t>A.1.7</t>
  </si>
  <si>
    <t xml:space="preserve">Objektivi Specifik A 2: Përmirësimi i aksesit në Shërbime Sociale e Shëndetësore të përshtatshme, cilësore dhe të integruara për të moshuarit, sa më pranë individit.  </t>
  </si>
  <si>
    <r>
      <t xml:space="preserve">Aktiviteti 2.2. </t>
    </r>
    <r>
      <rPr>
        <sz val="11"/>
        <color rgb="FF000000"/>
        <rFont val="Times New Roman"/>
        <family val="1"/>
      </rPr>
      <t xml:space="preserve">Shërbime të integruara sociale dhe  shëndetësore për moshën e tretë. Hartimi i protokolleve të sëmundjeve të shëndetit mendor, diabetit, parkinsonit, alzhaimer.etj.Kujdesi për shëndetin oral dhe atë të syve.  </t>
    </r>
  </si>
  <si>
    <r>
      <t xml:space="preserve">Aktiviteti 2.3 </t>
    </r>
    <r>
      <rPr>
        <sz val="11"/>
        <color rgb="FF000000"/>
        <rFont val="Times New Roman"/>
        <family val="1"/>
      </rPr>
      <t>Ngritja  e Shërbimeve  cilësore sociale shëndetësore të lëvizshme dhe  në shtëpi  për të moshuarit dhe ngritja e kapaciteteve të figurave profesionale . Digitalizimi i shërbimeve shëndetësore dhe shoqërore</t>
    </r>
  </si>
  <si>
    <t>A.2.3</t>
  </si>
  <si>
    <t>A.2.4</t>
  </si>
  <si>
    <t>Objektivi Specifik A 3: Përfshirja e plakjes në të gjithë sektorët dhe forcimi i bashkëpunimit ndërmjet të gjitha niveleve të qeverisjes</t>
  </si>
  <si>
    <t>A.3</t>
  </si>
  <si>
    <t>A.3.1</t>
  </si>
  <si>
    <r>
      <rPr>
        <b/>
        <sz val="11"/>
        <color rgb="FF000000"/>
        <rFont val="Times New Roman"/>
        <family val="1"/>
      </rPr>
      <t>A.3.1 Ngritja e strukturave koordinuese dhe këshilluese në nivele të larta</t>
    </r>
    <r>
      <rPr>
        <sz val="11"/>
        <color rgb="FF000000"/>
        <rFont val="Times New Roman"/>
        <family val="1"/>
      </rPr>
      <t xml:space="preserve"> të qeverisjes qendrore dhe vendore për ndjekjen e politikave të përfshirjes së plakjes </t>
    </r>
  </si>
  <si>
    <t>Aktiviteti 3.2 Qasja drejt zhvillimit të llogarive kombëtare të transfertave.</t>
  </si>
  <si>
    <t xml:space="preserve">Aktiviteti 3.3 Qyetet dhe Komunitetet Miqësore të Moshave (***) </t>
  </si>
  <si>
    <t>A.3.2</t>
  </si>
  <si>
    <t>A.3.3</t>
  </si>
  <si>
    <t>Qëllimi i Politikës B :Ndërgjegjësimi i shoqërisë për një plakje dinjitoze dhe masat për parandalimin e vetmisë dhe moshimin e shëndetshëm</t>
  </si>
  <si>
    <r>
      <t xml:space="preserve">Objektivi specifik B1 : Fushata ndërgjegjësimi dhe Edukimi i publikut -Fushata mediatike  </t>
    </r>
    <r>
      <rPr>
        <sz val="12"/>
        <color rgb="FF000000"/>
        <rFont val="Times New Roman"/>
        <family val="1"/>
      </rPr>
      <t xml:space="preserve">
</t>
    </r>
  </si>
  <si>
    <t>B.1</t>
  </si>
  <si>
    <t xml:space="preserve">Aktiviteti B 1.1.Përgatitja e posterave dhe broshurave . Fushata ndërgjegjësimi </t>
  </si>
  <si>
    <t>B.1.1</t>
  </si>
  <si>
    <t>B.1.2</t>
  </si>
  <si>
    <r>
      <rPr>
        <b/>
        <sz val="12"/>
        <color rgb="FF000000"/>
        <rFont val="Times New Roman"/>
        <family val="1"/>
      </rPr>
      <t>Aktiviteti B.1.2:</t>
    </r>
    <r>
      <rPr>
        <sz val="12"/>
        <color rgb="FF000000"/>
        <rFont val="Times New Roman"/>
        <family val="1"/>
      </rPr>
      <t xml:space="preserve">  Fushata sociale dhe angazhimi i influencërve  </t>
    </r>
  </si>
  <si>
    <r>
      <rPr>
        <b/>
        <sz val="12"/>
        <color rgb="FF000000"/>
        <rFont val="Times New Roman"/>
        <family val="1"/>
      </rPr>
      <t>Aktiviteti B 1.3</t>
    </r>
    <r>
      <rPr>
        <sz val="12"/>
        <color rgb="FF000000"/>
        <rFont val="Times New Roman"/>
        <family val="1"/>
      </rPr>
      <t xml:space="preserve"> Forumet publike dhe ngjarjet për ndërgjegjësimin e plakjes</t>
    </r>
  </si>
  <si>
    <t>B.1.3</t>
  </si>
  <si>
    <t xml:space="preserve">Objektivi specifik B.2 Ndërveprimi ndërmjet brezave -Programe edukative trainimi për të rinjtë dhe komunitetin  dhe krijimi i mundësive për aktivizim dhe pjesëmarrje </t>
  </si>
  <si>
    <t>B.2</t>
  </si>
  <si>
    <t xml:space="preserve">Aktiviteti B.2.1 Krijimi i Universitetit për Moshën e tretë </t>
  </si>
  <si>
    <t xml:space="preserve">Aktiviteti B.2.2.Inicimi i një projekti pilot ku “të moshuarit të birësojnë një shkollë </t>
  </si>
  <si>
    <t>Aktiviteti B.2.3 Nxitja e rolit të familjarëve në kujdesin për të moshuarit</t>
  </si>
  <si>
    <t xml:space="preserve">Aktiviteti B.2.4 Promovimi i Shëndetit dhe Aktiviteti Fizik për të moshuarit. </t>
  </si>
  <si>
    <t>B.2.1</t>
  </si>
  <si>
    <t>B.2.2</t>
  </si>
  <si>
    <t>B.2.3</t>
  </si>
  <si>
    <t>B.2.4</t>
  </si>
  <si>
    <t xml:space="preserve">Vizioni  “Të punojmë për një shoqëri 2030, të  shëndetshme dhe aktive  për të gjitha moshat: promovimi i cilësisë së jetës dhe plakjes aktive”.- Njeriu në qendër . </t>
  </si>
  <si>
    <r>
      <rPr>
        <b/>
        <sz val="12"/>
        <color rgb="FF000000"/>
        <rFont val="Times New Roman"/>
        <family val="1"/>
      </rPr>
      <t xml:space="preserve">Aktiviteti 1.1 </t>
    </r>
    <r>
      <rPr>
        <sz val="12"/>
        <color rgb="FF000000"/>
        <rFont val="Times New Roman"/>
        <family val="1"/>
      </rPr>
      <t xml:space="preserve">:Zhvillimi i politikave për rritjen e të ardhurave për pensionistët.(*)  </t>
    </r>
  </si>
  <si>
    <r>
      <rPr>
        <b/>
        <sz val="12"/>
        <color rgb="FF000000"/>
        <rFont val="Times New Roman"/>
        <family val="1"/>
      </rPr>
      <t xml:space="preserve">Aktiviteti 1.1 </t>
    </r>
    <r>
      <rPr>
        <sz val="12"/>
        <color rgb="FF000000"/>
        <rFont val="Times New Roman"/>
        <family val="1"/>
      </rPr>
      <t xml:space="preserve">:Zhvillimi i politikave për rritjen e të ardhurave për pensionistët. (*)  </t>
    </r>
  </si>
  <si>
    <r>
      <t xml:space="preserve">Aktiviteti 2.1 </t>
    </r>
    <r>
      <rPr>
        <sz val="11"/>
        <color rgb="FF262626"/>
        <rFont val="Times New Roman"/>
        <family val="1"/>
      </rPr>
      <t xml:space="preserve">Mirëqeverisja dhe mbështetja për kujdes afatgjatë përgjatë gjithë ciklit të jetës nëpërmjet zhvillimit të mekanizmave të dhënies (**) </t>
    </r>
  </si>
  <si>
    <r>
      <t xml:space="preserve">Aktiviteti 2.1 </t>
    </r>
    <r>
      <rPr>
        <sz val="11"/>
        <color rgb="FF262626"/>
        <rFont val="Times New Roman"/>
        <family val="1"/>
      </rPr>
      <t>Mirëqeverisja dhe mbështetja për kujdes afatgjatë përgjatë gjithë ciklit të jetës nëpërmjet zhvillimit të mekanizmave të dhënies  (**)</t>
    </r>
  </si>
  <si>
    <r>
      <t xml:space="preserve">Aktiviteti 2.4 </t>
    </r>
    <r>
      <rPr>
        <sz val="11"/>
        <color rgb="FF000000"/>
        <rFont val="Times New Roman"/>
        <family val="1"/>
      </rPr>
      <t>Të rrisim kapacitetet gjeriatrike dhe gerontologjike te profesionistët shëndetësorë dhe social (***)</t>
    </r>
  </si>
  <si>
    <r>
      <t xml:space="preserve">Aktiviteti 2.4 </t>
    </r>
    <r>
      <rPr>
        <sz val="11"/>
        <color rgb="FF000000"/>
        <rFont val="Times New Roman"/>
        <family val="1"/>
      </rPr>
      <t>Të rrisim kapacitetet gjeriatrike dhe gerontologjike te profesionistët shëndetësorë dhe sociale (***)</t>
    </r>
  </si>
  <si>
    <t xml:space="preserve">Aktiviteti 3.3 Qyetet dhe Komunitetet Miqësore të Moshave (****)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</si>
</sst>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Times New Roman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name val="Calibri"/>
      <family val="2"/>
    </font>
    <font>
      <b/>
      <sz val="12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8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11"/>
      <color rgb="FF262626"/>
      <name val="Times New Roman"/>
      <family val="1"/>
    </font>
    <font>
      <sz val="11"/>
      <color rgb="FF262626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Garamond"/>
      <family val="2"/>
    </font>
  </fonts>
  <fills count="2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6A2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FA0E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76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1" fillId="0" borderId="0"/>
  </cellStyleXfs>
  <cellXfs count="365">
    <xf numFmtId="0" fontId="0" fillId="0" borderId="0" xfId="0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 readingOrder="1"/>
    </xf>
    <xf numFmtId="0" fontId="17" fillId="0" borderId="17" xfId="0" applyFont="1" applyBorder="1" applyAlignment="1">
      <alignment horizontal="justify" vertical="center" readingOrder="1"/>
    </xf>
    <xf numFmtId="0" fontId="16" fillId="0" borderId="17" xfId="0" applyFont="1" applyBorder="1" applyAlignment="1">
      <alignment horizontal="justify" vertical="center" readingOrder="1"/>
    </xf>
    <xf numFmtId="0" fontId="12" fillId="0" borderId="17" xfId="0" applyFont="1" applyBorder="1" applyAlignment="1">
      <alignment horizontal="justify" vertical="center" readingOrder="1"/>
    </xf>
    <xf numFmtId="0" fontId="7" fillId="0" borderId="29" xfId="0" applyFont="1" applyBorder="1" applyAlignment="1">
      <alignment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36" xfId="0" applyFont="1" applyBorder="1" applyAlignment="1">
      <alignment horizontal="left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 readingOrder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37" fontId="0" fillId="0" borderId="0" xfId="0" applyNumberFormat="1" applyAlignment="1">
      <alignment vertical="center"/>
    </xf>
    <xf numFmtId="164" fontId="0" fillId="0" borderId="0" xfId="0" applyNumberFormat="1"/>
    <xf numFmtId="43" fontId="0" fillId="0" borderId="0" xfId="0" applyNumberFormat="1" applyAlignment="1">
      <alignment vertical="center"/>
    </xf>
    <xf numFmtId="0" fontId="22" fillId="8" borderId="46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9" borderId="48" xfId="0" applyFont="1" applyFill="1" applyBorder="1" applyAlignment="1">
      <alignment horizontal="center" vertical="center" wrapText="1"/>
    </xf>
    <xf numFmtId="0" fontId="22" fillId="9" borderId="46" xfId="0" applyFont="1" applyFill="1" applyBorder="1" applyAlignment="1">
      <alignment horizontal="center" vertical="center" wrapText="1"/>
    </xf>
    <xf numFmtId="0" fontId="22" fillId="3" borderId="46" xfId="0" applyFont="1" applyFill="1" applyBorder="1" applyAlignment="1">
      <alignment horizontal="center" vertical="center" wrapText="1"/>
    </xf>
    <xf numFmtId="0" fontId="22" fillId="10" borderId="46" xfId="0" applyFont="1" applyFill="1" applyBorder="1" applyAlignment="1">
      <alignment horizontal="center" vertical="center" wrapText="1"/>
    </xf>
    <xf numFmtId="0" fontId="22" fillId="11" borderId="46" xfId="0" applyFont="1" applyFill="1" applyBorder="1" applyAlignment="1">
      <alignment horizontal="center" vertical="center" wrapText="1"/>
    </xf>
    <xf numFmtId="37" fontId="23" fillId="7" borderId="49" xfId="0" applyNumberFormat="1" applyFont="1" applyFill="1" applyBorder="1" applyAlignment="1">
      <alignment vertical="center"/>
    </xf>
    <xf numFmtId="37" fontId="23" fillId="7" borderId="26" xfId="0" applyNumberFormat="1" applyFont="1" applyFill="1" applyBorder="1" applyAlignment="1">
      <alignment vertical="center"/>
    </xf>
    <xf numFmtId="164" fontId="24" fillId="7" borderId="49" xfId="0" applyNumberFormat="1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164" fontId="23" fillId="7" borderId="49" xfId="1" applyNumberFormat="1" applyFont="1" applyFill="1" applyBorder="1" applyAlignment="1">
      <alignment vertical="center"/>
    </xf>
    <xf numFmtId="164" fontId="25" fillId="7" borderId="49" xfId="1" applyNumberFormat="1" applyFont="1" applyFill="1" applyBorder="1" applyAlignment="1">
      <alignment vertical="center"/>
    </xf>
    <xf numFmtId="164" fontId="25" fillId="7" borderId="26" xfId="1" applyNumberFormat="1" applyFont="1" applyFill="1" applyBorder="1" applyAlignment="1">
      <alignment vertical="center"/>
    </xf>
    <xf numFmtId="164" fontId="14" fillId="0" borderId="50" xfId="1" applyNumberFormat="1" applyFont="1" applyBorder="1" applyAlignment="1">
      <alignment vertical="center"/>
    </xf>
    <xf numFmtId="164" fontId="14" fillId="0" borderId="51" xfId="1" applyNumberFormat="1" applyFont="1" applyBorder="1" applyAlignment="1">
      <alignment vertical="center"/>
    </xf>
    <xf numFmtId="164" fontId="14" fillId="0" borderId="52" xfId="1" applyNumberFormat="1" applyFont="1" applyBorder="1" applyAlignment="1">
      <alignment vertical="center"/>
    </xf>
    <xf numFmtId="164" fontId="14" fillId="0" borderId="53" xfId="1" applyNumberFormat="1" applyFont="1" applyBorder="1" applyAlignment="1">
      <alignment vertical="center"/>
    </xf>
    <xf numFmtId="164" fontId="14" fillId="0" borderId="54" xfId="1" applyNumberFormat="1" applyFont="1" applyFill="1" applyBorder="1" applyAlignment="1">
      <alignment vertical="center"/>
    </xf>
    <xf numFmtId="164" fontId="14" fillId="0" borderId="55" xfId="1" applyNumberFormat="1" applyFont="1" applyBorder="1" applyAlignment="1">
      <alignment vertical="center"/>
    </xf>
    <xf numFmtId="164" fontId="14" fillId="0" borderId="56" xfId="1" applyNumberFormat="1" applyFont="1" applyBorder="1" applyAlignment="1">
      <alignment vertical="center"/>
    </xf>
    <xf numFmtId="164" fontId="14" fillId="0" borderId="55" xfId="1" applyNumberFormat="1" applyFont="1" applyFill="1" applyBorder="1" applyAlignment="1">
      <alignment vertical="center"/>
    </xf>
    <xf numFmtId="164" fontId="14" fillId="0" borderId="58" xfId="1" applyNumberFormat="1" applyFont="1" applyBorder="1" applyAlignment="1">
      <alignment vertical="center"/>
    </xf>
    <xf numFmtId="164" fontId="14" fillId="0" borderId="59" xfId="1" applyNumberFormat="1" applyFont="1" applyFill="1" applyBorder="1" applyAlignment="1">
      <alignment vertical="center"/>
    </xf>
    <xf numFmtId="164" fontId="14" fillId="0" borderId="56" xfId="1" applyNumberFormat="1" applyFont="1" applyFill="1" applyBorder="1" applyAlignment="1">
      <alignment vertical="center"/>
    </xf>
    <xf numFmtId="164" fontId="14" fillId="0" borderId="57" xfId="1" applyNumberFormat="1" applyFont="1" applyFill="1" applyBorder="1" applyAlignment="1">
      <alignment vertical="center"/>
    </xf>
    <xf numFmtId="164" fontId="14" fillId="0" borderId="60" xfId="1" applyNumberFormat="1" applyFont="1" applyFill="1" applyBorder="1" applyAlignment="1">
      <alignment vertical="center"/>
    </xf>
    <xf numFmtId="164" fontId="14" fillId="0" borderId="61" xfId="1" applyNumberFormat="1" applyFont="1" applyFill="1" applyBorder="1" applyAlignment="1">
      <alignment vertical="center"/>
    </xf>
    <xf numFmtId="164" fontId="14" fillId="0" borderId="62" xfId="1" applyNumberFormat="1" applyFont="1" applyFill="1" applyBorder="1" applyAlignment="1">
      <alignment vertical="center"/>
    </xf>
    <xf numFmtId="164" fontId="14" fillId="0" borderId="63" xfId="1" applyNumberFormat="1" applyFont="1" applyBorder="1" applyAlignment="1">
      <alignment vertical="center"/>
    </xf>
    <xf numFmtId="164" fontId="14" fillId="0" borderId="64" xfId="1" applyNumberFormat="1" applyFont="1" applyFill="1" applyBorder="1" applyAlignment="1">
      <alignment vertical="center"/>
    </xf>
    <xf numFmtId="164" fontId="14" fillId="0" borderId="0" xfId="1" applyNumberFormat="1" applyFont="1" applyFill="1" applyBorder="1" applyAlignment="1">
      <alignment vertical="center"/>
    </xf>
    <xf numFmtId="164" fontId="14" fillId="0" borderId="65" xfId="1" applyNumberFormat="1" applyFont="1" applyFill="1" applyBorder="1" applyAlignment="1">
      <alignment vertical="center"/>
    </xf>
    <xf numFmtId="164" fontId="14" fillId="0" borderId="66" xfId="1" applyNumberFormat="1" applyFont="1" applyFill="1" applyBorder="1" applyAlignment="1">
      <alignment vertical="center"/>
    </xf>
    <xf numFmtId="164" fontId="14" fillId="0" borderId="0" xfId="1" applyNumberFormat="1" applyFont="1" applyFill="1" applyAlignment="1">
      <alignment vertical="center"/>
    </xf>
    <xf numFmtId="164" fontId="14" fillId="0" borderId="67" xfId="1" applyNumberFormat="1" applyFont="1" applyFill="1" applyBorder="1" applyAlignment="1">
      <alignment vertical="center"/>
    </xf>
    <xf numFmtId="164" fontId="14" fillId="0" borderId="61" xfId="1" applyNumberFormat="1" applyFont="1" applyBorder="1" applyAlignment="1">
      <alignment vertical="center"/>
    </xf>
    <xf numFmtId="164" fontId="14" fillId="0" borderId="68" xfId="1" applyNumberFormat="1" applyFont="1" applyBorder="1" applyAlignment="1">
      <alignment vertical="center"/>
    </xf>
    <xf numFmtId="164" fontId="14" fillId="0" borderId="58" xfId="1" applyNumberFormat="1" applyFont="1" applyFill="1" applyBorder="1" applyAlignment="1">
      <alignment vertical="center"/>
    </xf>
    <xf numFmtId="0" fontId="20" fillId="0" borderId="0" xfId="0" applyFont="1"/>
    <xf numFmtId="164" fontId="27" fillId="0" borderId="55" xfId="1" applyNumberFormat="1" applyFont="1" applyFill="1" applyBorder="1" applyAlignment="1">
      <alignment vertical="center"/>
    </xf>
    <xf numFmtId="164" fontId="0" fillId="0" borderId="55" xfId="0" applyNumberFormat="1" applyBorder="1" applyAlignment="1">
      <alignment vertical="center"/>
    </xf>
    <xf numFmtId="164" fontId="0" fillId="0" borderId="58" xfId="0" applyNumberFormat="1" applyBorder="1" applyAlignment="1">
      <alignment vertical="center"/>
    </xf>
    <xf numFmtId="0" fontId="28" fillId="0" borderId="0" xfId="0" applyFont="1"/>
    <xf numFmtId="164" fontId="7" fillId="4" borderId="49" xfId="0" applyNumberFormat="1" applyFont="1" applyFill="1" applyBorder="1" applyAlignment="1">
      <alignment horizontal="left" vertical="center" wrapText="1"/>
    </xf>
    <xf numFmtId="164" fontId="26" fillId="4" borderId="49" xfId="0" applyNumberFormat="1" applyFont="1" applyFill="1" applyBorder="1" applyAlignment="1">
      <alignment horizontal="left" vertical="center" wrapText="1"/>
    </xf>
    <xf numFmtId="164" fontId="26" fillId="4" borderId="49" xfId="1" applyNumberFormat="1" applyFont="1" applyFill="1" applyBorder="1" applyAlignment="1">
      <alignment horizontal="left" vertical="center" wrapText="1"/>
    </xf>
    <xf numFmtId="164" fontId="7" fillId="0" borderId="69" xfId="0" applyNumberFormat="1" applyFont="1" applyBorder="1" applyAlignment="1">
      <alignment horizontal="left" vertical="center" wrapText="1"/>
    </xf>
    <xf numFmtId="164" fontId="14" fillId="0" borderId="70" xfId="1" applyNumberFormat="1" applyFont="1" applyFill="1" applyBorder="1" applyAlignment="1">
      <alignment vertical="center"/>
    </xf>
    <xf numFmtId="164" fontId="14" fillId="0" borderId="71" xfId="1" applyNumberFormat="1" applyFont="1" applyFill="1" applyBorder="1" applyAlignment="1">
      <alignment vertical="center"/>
    </xf>
    <xf numFmtId="0" fontId="0" fillId="0" borderId="71" xfId="0" applyBorder="1" applyAlignment="1">
      <alignment vertical="center"/>
    </xf>
    <xf numFmtId="164" fontId="0" fillId="0" borderId="71" xfId="0" applyNumberFormat="1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0" xfId="0" applyBorder="1" applyAlignment="1">
      <alignment vertical="center"/>
    </xf>
    <xf numFmtId="0" fontId="27" fillId="0" borderId="0" xfId="0" applyFont="1"/>
    <xf numFmtId="0" fontId="22" fillId="12" borderId="46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164" fontId="0" fillId="0" borderId="55" xfId="1" applyNumberFormat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164" fontId="14" fillId="0" borderId="75" xfId="1" applyNumberFormat="1" applyFont="1" applyFill="1" applyBorder="1" applyAlignment="1">
      <alignment vertical="center"/>
    </xf>
    <xf numFmtId="164" fontId="14" fillId="0" borderId="51" xfId="1" applyNumberFormat="1" applyFont="1" applyFill="1" applyBorder="1" applyAlignment="1">
      <alignment vertical="center"/>
    </xf>
    <xf numFmtId="0" fontId="0" fillId="0" borderId="51" xfId="0" applyBorder="1" applyAlignment="1">
      <alignment vertical="center"/>
    </xf>
    <xf numFmtId="164" fontId="14" fillId="0" borderId="51" xfId="0" applyNumberFormat="1" applyFont="1" applyBorder="1" applyAlignment="1">
      <alignment vertical="center"/>
    </xf>
    <xf numFmtId="164" fontId="0" fillId="0" borderId="51" xfId="0" applyNumberFormat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76" xfId="0" applyBorder="1" applyAlignment="1">
      <alignment vertical="center"/>
    </xf>
    <xf numFmtId="43" fontId="14" fillId="0" borderId="55" xfId="1" applyFont="1" applyFill="1" applyBorder="1" applyAlignment="1">
      <alignment vertical="center"/>
    </xf>
    <xf numFmtId="164" fontId="0" fillId="13" borderId="49" xfId="1" applyNumberFormat="1" applyFont="1" applyFill="1" applyBorder="1" applyAlignment="1">
      <alignment vertical="center"/>
    </xf>
    <xf numFmtId="164" fontId="0" fillId="13" borderId="26" xfId="1" applyNumberFormat="1" applyFont="1" applyFill="1" applyBorder="1" applyAlignment="1">
      <alignment vertical="center"/>
    </xf>
    <xf numFmtId="164" fontId="0" fillId="13" borderId="77" xfId="1" applyNumberFormat="1" applyFont="1" applyFill="1" applyBorder="1" applyAlignment="1">
      <alignment vertical="center"/>
    </xf>
    <xf numFmtId="164" fontId="0" fillId="13" borderId="27" xfId="1" applyNumberFormat="1" applyFont="1" applyFill="1" applyBorder="1" applyAlignment="1">
      <alignment vertical="center"/>
    </xf>
    <xf numFmtId="43" fontId="14" fillId="0" borderId="75" xfId="1" applyFont="1" applyFill="1" applyBorder="1" applyAlignment="1">
      <alignment vertical="center"/>
    </xf>
    <xf numFmtId="43" fontId="14" fillId="0" borderId="51" xfId="1" applyFont="1" applyFill="1" applyBorder="1" applyAlignment="1">
      <alignment vertical="center"/>
    </xf>
    <xf numFmtId="43" fontId="0" fillId="0" borderId="51" xfId="1" applyFont="1" applyFill="1" applyBorder="1" applyAlignment="1">
      <alignment vertical="center"/>
    </xf>
    <xf numFmtId="43" fontId="0" fillId="0" borderId="52" xfId="1" applyFont="1" applyFill="1" applyBorder="1" applyAlignment="1">
      <alignment vertical="center"/>
    </xf>
    <xf numFmtId="43" fontId="0" fillId="0" borderId="76" xfId="1" applyFont="1" applyFill="1" applyBorder="1" applyAlignment="1">
      <alignment vertical="center"/>
    </xf>
    <xf numFmtId="0" fontId="13" fillId="0" borderId="40" xfId="0" applyFont="1" applyBorder="1" applyAlignment="1">
      <alignment horizontal="justify" vertical="center" readingOrder="1"/>
    </xf>
    <xf numFmtId="0" fontId="6" fillId="0" borderId="0" xfId="0" applyFont="1" applyAlignment="1">
      <alignment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6" fillId="4" borderId="19" xfId="0" applyNumberFormat="1" applyFont="1" applyFill="1" applyBorder="1" applyAlignment="1">
      <alignment horizontal="center" vertical="center" wrapText="1"/>
    </xf>
    <xf numFmtId="43" fontId="6" fillId="0" borderId="17" xfId="0" applyNumberFormat="1" applyFont="1" applyBorder="1" applyAlignment="1">
      <alignment horizontal="center" vertical="center" wrapText="1"/>
    </xf>
    <xf numFmtId="43" fontId="6" fillId="0" borderId="35" xfId="0" applyNumberFormat="1" applyFont="1" applyBorder="1" applyAlignment="1">
      <alignment horizontal="center" vertical="center" wrapText="1"/>
    </xf>
    <xf numFmtId="43" fontId="6" fillId="4" borderId="33" xfId="0" applyNumberFormat="1" applyFont="1" applyFill="1" applyBorder="1" applyAlignment="1">
      <alignment horizontal="center" vertical="center" wrapText="1"/>
    </xf>
    <xf numFmtId="0" fontId="6" fillId="0" borderId="7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5" fillId="14" borderId="26" xfId="0" applyFont="1" applyFill="1" applyBorder="1" applyAlignment="1">
      <alignment vertical="center"/>
    </xf>
    <xf numFmtId="0" fontId="6" fillId="14" borderId="26" xfId="0" applyFont="1" applyFill="1" applyBorder="1" applyAlignment="1">
      <alignment horizontal="center" vertical="center" wrapText="1"/>
    </xf>
    <xf numFmtId="0" fontId="6" fillId="14" borderId="26" xfId="0" applyFont="1" applyFill="1" applyBorder="1" applyAlignment="1">
      <alignment vertical="center" wrapText="1"/>
    </xf>
    <xf numFmtId="164" fontId="0" fillId="0" borderId="56" xfId="1" applyNumberFormat="1" applyFont="1" applyFill="1" applyBorder="1" applyAlignment="1">
      <alignment vertical="center"/>
    </xf>
    <xf numFmtId="164" fontId="0" fillId="0" borderId="58" xfId="1" applyNumberFormat="1" applyFont="1" applyFill="1" applyBorder="1" applyAlignment="1">
      <alignment vertical="center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center" wrapText="1" readingOrder="1"/>
    </xf>
    <xf numFmtId="164" fontId="0" fillId="0" borderId="71" xfId="1" applyNumberFormat="1" applyFont="1" applyFill="1" applyBorder="1" applyAlignment="1">
      <alignment vertical="center"/>
    </xf>
    <xf numFmtId="164" fontId="0" fillId="0" borderId="72" xfId="0" applyNumberFormat="1" applyBorder="1" applyAlignment="1">
      <alignment vertical="center"/>
    </xf>
    <xf numFmtId="43" fontId="0" fillId="0" borderId="71" xfId="0" applyNumberFormat="1" applyBorder="1" applyAlignment="1">
      <alignment vertical="center"/>
    </xf>
    <xf numFmtId="43" fontId="0" fillId="0" borderId="72" xfId="0" applyNumberFormat="1" applyBorder="1" applyAlignment="1">
      <alignment vertical="center"/>
    </xf>
    <xf numFmtId="43" fontId="0" fillId="0" borderId="74" xfId="0" applyNumberFormat="1" applyBorder="1" applyAlignment="1">
      <alignment vertical="center"/>
    </xf>
    <xf numFmtId="164" fontId="6" fillId="4" borderId="44" xfId="0" applyNumberFormat="1" applyFont="1" applyFill="1" applyBorder="1" applyAlignment="1">
      <alignment horizontal="center" vertical="center" wrapText="1"/>
    </xf>
    <xf numFmtId="43" fontId="5" fillId="3" borderId="26" xfId="0" applyNumberFormat="1" applyFont="1" applyFill="1" applyBorder="1" applyAlignment="1">
      <alignment vertical="center"/>
    </xf>
    <xf numFmtId="164" fontId="6" fillId="0" borderId="17" xfId="1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3" fontId="14" fillId="0" borderId="61" xfId="1" applyFont="1" applyFill="1" applyBorder="1" applyAlignment="1">
      <alignment vertical="center"/>
    </xf>
    <xf numFmtId="0" fontId="29" fillId="0" borderId="17" xfId="0" applyFont="1" applyBorder="1" applyAlignment="1">
      <alignment horizontal="left" vertical="center" wrapText="1" readingOrder="1"/>
    </xf>
    <xf numFmtId="0" fontId="6" fillId="4" borderId="32" xfId="0" applyFont="1" applyFill="1" applyBorder="1" applyAlignment="1">
      <alignment horizontal="left" vertical="center" wrapText="1"/>
    </xf>
    <xf numFmtId="0" fontId="12" fillId="0" borderId="40" xfId="0" applyFont="1" applyBorder="1" applyAlignment="1">
      <alignment horizontal="justify" vertical="center" readingOrder="1"/>
    </xf>
    <xf numFmtId="164" fontId="0" fillId="0" borderId="51" xfId="1" applyNumberFormat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164" fontId="14" fillId="0" borderId="81" xfId="1" applyNumberFormat="1" applyFont="1" applyBorder="1" applyAlignment="1">
      <alignment vertical="center"/>
    </xf>
    <xf numFmtId="164" fontId="14" fillId="0" borderId="69" xfId="1" applyNumberFormat="1" applyFont="1" applyBorder="1" applyAlignment="1">
      <alignment vertical="center"/>
    </xf>
    <xf numFmtId="164" fontId="14" fillId="0" borderId="82" xfId="1" applyNumberFormat="1" applyFont="1" applyBorder="1" applyAlignment="1">
      <alignment vertical="center"/>
    </xf>
    <xf numFmtId="164" fontId="14" fillId="0" borderId="83" xfId="1" applyNumberFormat="1" applyFont="1" applyBorder="1" applyAlignment="1">
      <alignment vertical="center"/>
    </xf>
    <xf numFmtId="164" fontId="14" fillId="0" borderId="84" xfId="1" applyNumberFormat="1" applyFont="1" applyBorder="1" applyAlignment="1">
      <alignment vertical="center"/>
    </xf>
    <xf numFmtId="164" fontId="14" fillId="0" borderId="50" xfId="1" applyNumberFormat="1" applyFont="1" applyFill="1" applyBorder="1" applyAlignment="1">
      <alignment vertical="center"/>
    </xf>
    <xf numFmtId="164" fontId="0" fillId="0" borderId="53" xfId="1" applyNumberFormat="1" applyFont="1" applyFill="1" applyBorder="1" applyAlignment="1">
      <alignment vertical="center"/>
    </xf>
    <xf numFmtId="164" fontId="14" fillId="0" borderId="84" xfId="1" applyNumberFormat="1" applyFont="1" applyFill="1" applyBorder="1" applyAlignment="1">
      <alignment vertical="center"/>
    </xf>
    <xf numFmtId="164" fontId="0" fillId="0" borderId="66" xfId="1" applyNumberFormat="1" applyFont="1" applyFill="1" applyBorder="1" applyAlignment="1">
      <alignment vertical="center"/>
    </xf>
    <xf numFmtId="164" fontId="0" fillId="0" borderId="85" xfId="1" applyNumberFormat="1" applyFont="1" applyFill="1" applyBorder="1" applyAlignment="1">
      <alignment vertical="center"/>
    </xf>
    <xf numFmtId="164" fontId="0" fillId="0" borderId="86" xfId="1" applyNumberFormat="1" applyFont="1" applyFill="1" applyBorder="1" applyAlignment="1">
      <alignment vertical="center"/>
    </xf>
    <xf numFmtId="164" fontId="14" fillId="0" borderId="87" xfId="1" applyNumberFormat="1" applyFont="1" applyFill="1" applyBorder="1" applyAlignment="1">
      <alignment vertical="center"/>
    </xf>
    <xf numFmtId="37" fontId="23" fillId="7" borderId="27" xfId="0" applyNumberFormat="1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164" fontId="14" fillId="0" borderId="88" xfId="1" applyNumberFormat="1" applyFont="1" applyFill="1" applyBorder="1" applyAlignment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4" borderId="44" xfId="0" applyFont="1" applyFill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readingOrder="1"/>
    </xf>
    <xf numFmtId="0" fontId="25" fillId="0" borderId="17" xfId="0" applyFont="1" applyBorder="1" applyAlignment="1">
      <alignment horizontal="left" vertical="center" wrapText="1" readingOrder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16" borderId="20" xfId="0" applyFont="1" applyFill="1" applyBorder="1" applyAlignment="1">
      <alignment horizontal="left" vertical="center" wrapText="1"/>
    </xf>
    <xf numFmtId="164" fontId="14" fillId="0" borderId="89" xfId="1" applyNumberFormat="1" applyFont="1" applyFill="1" applyBorder="1" applyAlignment="1">
      <alignment vertical="center"/>
    </xf>
    <xf numFmtId="43" fontId="14" fillId="0" borderId="66" xfId="1" applyFont="1" applyFill="1" applyBorder="1" applyAlignment="1">
      <alignment vertical="center"/>
    </xf>
    <xf numFmtId="164" fontId="14" fillId="0" borderId="85" xfId="1" applyNumberFormat="1" applyFont="1" applyFill="1" applyBorder="1" applyAlignment="1">
      <alignment vertical="center"/>
    </xf>
    <xf numFmtId="164" fontId="14" fillId="0" borderId="90" xfId="1" applyNumberFormat="1" applyFont="1" applyBorder="1" applyAlignment="1">
      <alignment vertical="center"/>
    </xf>
    <xf numFmtId="0" fontId="22" fillId="9" borderId="19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164" fontId="0" fillId="0" borderId="52" xfId="1" applyNumberFormat="1" applyFont="1" applyFill="1" applyBorder="1" applyAlignment="1">
      <alignment vertical="center"/>
    </xf>
    <xf numFmtId="164" fontId="6" fillId="0" borderId="35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164" fontId="0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0" fillId="0" borderId="0" xfId="1" applyNumberFormat="1" applyFont="1" applyBorder="1" applyAlignment="1">
      <alignment vertical="center"/>
    </xf>
    <xf numFmtId="164" fontId="6" fillId="0" borderId="41" xfId="1" applyNumberFormat="1" applyFont="1" applyBorder="1" applyAlignment="1">
      <alignment horizontal="center" vertical="center" wrapText="1"/>
    </xf>
    <xf numFmtId="164" fontId="28" fillId="0" borderId="0" xfId="1" applyNumberFormat="1" applyFont="1" applyFill="1"/>
    <xf numFmtId="0" fontId="17" fillId="16" borderId="19" xfId="0" applyFont="1" applyFill="1" applyBorder="1" applyAlignment="1">
      <alignment horizontal="justify" vertical="center" readingOrder="1"/>
    </xf>
    <xf numFmtId="0" fontId="25" fillId="0" borderId="19" xfId="0" applyFont="1" applyBorder="1" applyAlignment="1">
      <alignment horizontal="left" vertical="center" wrapText="1" readingOrder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164" fontId="30" fillId="3" borderId="26" xfId="0" applyNumberFormat="1" applyFont="1" applyFill="1" applyBorder="1" applyAlignment="1">
      <alignment vertical="center" wrapText="1"/>
    </xf>
    <xf numFmtId="164" fontId="30" fillId="3" borderId="77" xfId="0" applyNumberFormat="1" applyFont="1" applyFill="1" applyBorder="1" applyAlignment="1">
      <alignment vertical="center" wrapText="1"/>
    </xf>
    <xf numFmtId="164" fontId="30" fillId="3" borderId="24" xfId="0" applyNumberFormat="1" applyFont="1" applyFill="1" applyBorder="1" applyAlignment="1">
      <alignment vertical="center" wrapText="1"/>
    </xf>
    <xf numFmtId="164" fontId="30" fillId="3" borderId="79" xfId="0" applyNumberFormat="1" applyFont="1" applyFill="1" applyBorder="1" applyAlignment="1">
      <alignment vertical="center" wrapText="1"/>
    </xf>
    <xf numFmtId="164" fontId="30" fillId="14" borderId="73" xfId="0" applyNumberFormat="1" applyFont="1" applyFill="1" applyBorder="1" applyAlignment="1">
      <alignment vertical="center" wrapText="1"/>
    </xf>
    <xf numFmtId="164" fontId="30" fillId="14" borderId="92" xfId="0" applyNumberFormat="1" applyFont="1" applyFill="1" applyBorder="1" applyAlignment="1">
      <alignment vertical="center" wrapText="1"/>
    </xf>
    <xf numFmtId="164" fontId="30" fillId="14" borderId="98" xfId="0" applyNumberFormat="1" applyFont="1" applyFill="1" applyBorder="1" applyAlignment="1">
      <alignment vertical="center" wrapText="1"/>
    </xf>
    <xf numFmtId="164" fontId="30" fillId="14" borderId="26" xfId="0" applyNumberFormat="1" applyFont="1" applyFill="1" applyBorder="1" applyAlignment="1">
      <alignment vertical="center" wrapText="1"/>
    </xf>
    <xf numFmtId="164" fontId="30" fillId="14" borderId="99" xfId="0" applyNumberFormat="1" applyFont="1" applyFill="1" applyBorder="1" applyAlignment="1">
      <alignment vertical="center" wrapText="1"/>
    </xf>
    <xf numFmtId="164" fontId="31" fillId="4" borderId="19" xfId="0" applyNumberFormat="1" applyFont="1" applyFill="1" applyBorder="1" applyAlignment="1">
      <alignment vertical="center" wrapText="1"/>
    </xf>
    <xf numFmtId="164" fontId="30" fillId="4" borderId="19" xfId="0" applyNumberFormat="1" applyFont="1" applyFill="1" applyBorder="1" applyAlignment="1">
      <alignment vertical="center" wrapText="1"/>
    </xf>
    <xf numFmtId="164" fontId="30" fillId="4" borderId="22" xfId="0" applyNumberFormat="1" applyFont="1" applyFill="1" applyBorder="1" applyAlignment="1">
      <alignment vertical="center" wrapText="1"/>
    </xf>
    <xf numFmtId="164" fontId="30" fillId="4" borderId="39" xfId="0" applyNumberFormat="1" applyFont="1" applyFill="1" applyBorder="1" applyAlignment="1">
      <alignment vertical="center" wrapText="1"/>
    </xf>
    <xf numFmtId="164" fontId="30" fillId="4" borderId="41" xfId="0" applyNumberFormat="1" applyFont="1" applyFill="1" applyBorder="1" applyAlignment="1">
      <alignment vertical="center" wrapText="1"/>
    </xf>
    <xf numFmtId="164" fontId="31" fillId="0" borderId="17" xfId="1" applyNumberFormat="1" applyFont="1" applyBorder="1" applyAlignment="1">
      <alignment horizontal="center" vertical="center" wrapText="1"/>
    </xf>
    <xf numFmtId="164" fontId="30" fillId="0" borderId="17" xfId="1" applyNumberFormat="1" applyFont="1" applyBorder="1" applyAlignment="1">
      <alignment horizontal="center" vertical="center" wrapText="1"/>
    </xf>
    <xf numFmtId="164" fontId="30" fillId="0" borderId="20" xfId="1" applyNumberFormat="1" applyFont="1" applyBorder="1" applyAlignment="1">
      <alignment horizontal="center" vertical="center" wrapText="1"/>
    </xf>
    <xf numFmtId="164" fontId="30" fillId="17" borderId="39" xfId="0" applyNumberFormat="1" applyFont="1" applyFill="1" applyBorder="1" applyAlignment="1">
      <alignment vertical="center" wrapText="1"/>
    </xf>
    <xf numFmtId="164" fontId="30" fillId="17" borderId="19" xfId="0" applyNumberFormat="1" applyFont="1" applyFill="1" applyBorder="1" applyAlignment="1">
      <alignment vertical="center" wrapText="1"/>
    </xf>
    <xf numFmtId="164" fontId="30" fillId="17" borderId="41" xfId="0" applyNumberFormat="1" applyFont="1" applyFill="1" applyBorder="1" applyAlignment="1">
      <alignment vertical="center" wrapText="1"/>
    </xf>
    <xf numFmtId="164" fontId="31" fillId="15" borderId="80" xfId="1" applyNumberFormat="1" applyFont="1" applyFill="1" applyBorder="1" applyAlignment="1">
      <alignment horizontal="center" vertical="center" wrapText="1"/>
    </xf>
    <xf numFmtId="164" fontId="30" fillId="15" borderId="80" xfId="1" applyNumberFormat="1" applyFont="1" applyFill="1" applyBorder="1" applyAlignment="1">
      <alignment horizontal="center" vertical="center" wrapText="1"/>
    </xf>
    <xf numFmtId="164" fontId="30" fillId="15" borderId="93" xfId="1" applyNumberFormat="1" applyFont="1" applyFill="1" applyBorder="1" applyAlignment="1">
      <alignment horizontal="center" vertical="center" wrapText="1"/>
    </xf>
    <xf numFmtId="43" fontId="30" fillId="15" borderId="96" xfId="1" applyFont="1" applyFill="1" applyBorder="1" applyAlignment="1">
      <alignment horizontal="center" vertical="center" wrapText="1"/>
    </xf>
    <xf numFmtId="43" fontId="30" fillId="15" borderId="80" xfId="1" applyFont="1" applyFill="1" applyBorder="1" applyAlignment="1">
      <alignment horizontal="center" vertical="center" wrapText="1"/>
    </xf>
    <xf numFmtId="164" fontId="30" fillId="15" borderId="97" xfId="1" applyNumberFormat="1" applyFont="1" applyFill="1" applyBorder="1" applyAlignment="1">
      <alignment horizontal="center" vertical="center" wrapText="1"/>
    </xf>
    <xf numFmtId="164" fontId="31" fillId="0" borderId="19" xfId="1" applyNumberFormat="1" applyFont="1" applyBorder="1" applyAlignment="1">
      <alignment horizontal="center" vertical="center" wrapText="1"/>
    </xf>
    <xf numFmtId="43" fontId="31" fillId="0" borderId="19" xfId="0" applyNumberFormat="1" applyFont="1" applyBorder="1" applyAlignment="1">
      <alignment horizontal="center" vertical="center" wrapText="1"/>
    </xf>
    <xf numFmtId="43" fontId="32" fillId="0" borderId="19" xfId="0" applyNumberFormat="1" applyFont="1" applyBorder="1" applyAlignment="1">
      <alignment vertical="center"/>
    </xf>
    <xf numFmtId="164" fontId="30" fillId="0" borderId="19" xfId="1" applyNumberFormat="1" applyFont="1" applyBorder="1" applyAlignment="1">
      <alignment horizontal="center" vertical="center" wrapText="1"/>
    </xf>
    <xf numFmtId="164" fontId="30" fillId="0" borderId="22" xfId="1" applyNumberFormat="1" applyFont="1" applyBorder="1" applyAlignment="1">
      <alignment horizontal="center" vertical="center" wrapText="1"/>
    </xf>
    <xf numFmtId="43" fontId="31" fillId="0" borderId="17" xfId="0" applyNumberFormat="1" applyFont="1" applyBorder="1" applyAlignment="1">
      <alignment horizontal="center" vertical="center" wrapText="1"/>
    </xf>
    <xf numFmtId="43" fontId="32" fillId="0" borderId="17" xfId="0" applyNumberFormat="1" applyFont="1" applyBorder="1" applyAlignment="1">
      <alignment vertical="center"/>
    </xf>
    <xf numFmtId="164" fontId="31" fillId="0" borderId="29" xfId="1" applyNumberFormat="1" applyFont="1" applyBorder="1" applyAlignment="1">
      <alignment horizontal="center" vertical="center" wrapText="1"/>
    </xf>
    <xf numFmtId="43" fontId="31" fillId="0" borderId="29" xfId="0" applyNumberFormat="1" applyFont="1" applyBorder="1" applyAlignment="1">
      <alignment horizontal="center" vertical="center" wrapText="1"/>
    </xf>
    <xf numFmtId="43" fontId="32" fillId="0" borderId="29" xfId="0" applyNumberFormat="1" applyFont="1" applyBorder="1" applyAlignment="1">
      <alignment vertical="center"/>
    </xf>
    <xf numFmtId="164" fontId="30" fillId="0" borderId="29" xfId="1" applyNumberFormat="1" applyFont="1" applyBorder="1" applyAlignment="1">
      <alignment horizontal="center" vertical="center" wrapText="1"/>
    </xf>
    <xf numFmtId="164" fontId="30" fillId="0" borderId="30" xfId="1" applyNumberFormat="1" applyFont="1" applyBorder="1" applyAlignment="1">
      <alignment horizontal="center" vertical="center" wrapText="1"/>
    </xf>
    <xf numFmtId="164" fontId="31" fillId="15" borderId="80" xfId="0" applyNumberFormat="1" applyFont="1" applyFill="1" applyBorder="1" applyAlignment="1">
      <alignment horizontal="center" vertical="center" wrapText="1"/>
    </xf>
    <xf numFmtId="164" fontId="30" fillId="15" borderId="80" xfId="0" applyNumberFormat="1" applyFont="1" applyFill="1" applyBorder="1" applyAlignment="1">
      <alignment horizontal="center" vertical="center" wrapText="1"/>
    </xf>
    <xf numFmtId="164" fontId="30" fillId="15" borderId="93" xfId="0" applyNumberFormat="1" applyFont="1" applyFill="1" applyBorder="1" applyAlignment="1">
      <alignment horizontal="center" vertical="center" wrapText="1"/>
    </xf>
    <xf numFmtId="164" fontId="30" fillId="15" borderId="96" xfId="1" applyNumberFormat="1" applyFont="1" applyFill="1" applyBorder="1" applyAlignment="1">
      <alignment horizontal="center" vertical="center" wrapText="1"/>
    </xf>
    <xf numFmtId="164" fontId="31" fillId="0" borderId="46" xfId="1" applyNumberFormat="1" applyFont="1" applyBorder="1" applyAlignment="1">
      <alignment horizontal="center" vertical="center" wrapText="1"/>
    </xf>
    <xf numFmtId="164" fontId="30" fillId="0" borderId="46" xfId="1" applyNumberFormat="1" applyFont="1" applyBorder="1" applyAlignment="1">
      <alignment horizontal="center" vertical="center" wrapText="1"/>
    </xf>
    <xf numFmtId="164" fontId="30" fillId="0" borderId="47" xfId="1" applyNumberFormat="1" applyFont="1" applyBorder="1" applyAlignment="1">
      <alignment horizontal="center" vertical="center" wrapText="1"/>
    </xf>
    <xf numFmtId="164" fontId="33" fillId="14" borderId="26" xfId="0" applyNumberFormat="1" applyFont="1" applyFill="1" applyBorder="1" applyAlignment="1">
      <alignment vertical="center"/>
    </xf>
    <xf numFmtId="164" fontId="33" fillId="14" borderId="77" xfId="0" applyNumberFormat="1" applyFont="1" applyFill="1" applyBorder="1" applyAlignment="1">
      <alignment vertical="center"/>
    </xf>
    <xf numFmtId="164" fontId="32" fillId="13" borderId="19" xfId="0" applyNumberFormat="1" applyFont="1" applyFill="1" applyBorder="1" applyAlignment="1">
      <alignment vertical="center"/>
    </xf>
    <xf numFmtId="164" fontId="34" fillId="13" borderId="19" xfId="1" applyNumberFormat="1" applyFont="1" applyFill="1" applyBorder="1" applyAlignment="1">
      <alignment vertical="center"/>
    </xf>
    <xf numFmtId="164" fontId="34" fillId="13" borderId="22" xfId="1" applyNumberFormat="1" applyFont="1" applyFill="1" applyBorder="1" applyAlignment="1">
      <alignment vertical="center"/>
    </xf>
    <xf numFmtId="164" fontId="32" fillId="0" borderId="17" xfId="1" applyNumberFormat="1" applyFont="1" applyBorder="1" applyAlignment="1">
      <alignment vertical="center"/>
    </xf>
    <xf numFmtId="164" fontId="34" fillId="0" borderId="17" xfId="1" applyNumberFormat="1" applyFont="1" applyBorder="1" applyAlignment="1">
      <alignment vertical="center"/>
    </xf>
    <xf numFmtId="164" fontId="34" fillId="0" borderId="20" xfId="1" applyNumberFormat="1" applyFont="1" applyBorder="1" applyAlignment="1">
      <alignment vertical="center"/>
    </xf>
    <xf numFmtId="0" fontId="32" fillId="13" borderId="44" xfId="0" applyFont="1" applyFill="1" applyBorder="1" applyAlignment="1">
      <alignment vertical="center"/>
    </xf>
    <xf numFmtId="164" fontId="32" fillId="13" borderId="44" xfId="0" applyNumberFormat="1" applyFont="1" applyFill="1" applyBorder="1" applyAlignment="1">
      <alignment vertical="center"/>
    </xf>
    <xf numFmtId="164" fontId="34" fillId="13" borderId="44" xfId="0" applyNumberFormat="1" applyFont="1" applyFill="1" applyBorder="1" applyAlignment="1">
      <alignment vertical="center"/>
    </xf>
    <xf numFmtId="164" fontId="34" fillId="13" borderId="43" xfId="0" applyNumberFormat="1" applyFont="1" applyFill="1" applyBorder="1" applyAlignment="1">
      <alignment vertical="center"/>
    </xf>
    <xf numFmtId="43" fontId="32" fillId="0" borderId="19" xfId="1" applyFont="1" applyBorder="1" applyAlignment="1">
      <alignment vertical="center"/>
    </xf>
    <xf numFmtId="164" fontId="32" fillId="0" borderId="19" xfId="0" applyNumberFormat="1" applyFont="1" applyBorder="1" applyAlignment="1">
      <alignment vertical="center"/>
    </xf>
    <xf numFmtId="164" fontId="34" fillId="0" borderId="19" xfId="0" applyNumberFormat="1" applyFont="1" applyBorder="1" applyAlignment="1">
      <alignment vertical="center"/>
    </xf>
    <xf numFmtId="164" fontId="34" fillId="0" borderId="22" xfId="0" applyNumberFormat="1" applyFont="1" applyBorder="1" applyAlignment="1">
      <alignment vertical="center"/>
    </xf>
    <xf numFmtId="43" fontId="6" fillId="0" borderId="19" xfId="0" applyNumberFormat="1" applyFont="1" applyBorder="1" applyAlignment="1">
      <alignment horizontal="center" vertical="center" wrapText="1"/>
    </xf>
    <xf numFmtId="43" fontId="6" fillId="0" borderId="41" xfId="0" applyNumberFormat="1" applyFont="1" applyBorder="1" applyAlignment="1">
      <alignment horizontal="center" vertical="center" wrapText="1"/>
    </xf>
    <xf numFmtId="43" fontId="6" fillId="4" borderId="44" xfId="0" applyNumberFormat="1" applyFont="1" applyFill="1" applyBorder="1" applyAlignment="1">
      <alignment horizontal="center" vertical="center" wrapText="1"/>
    </xf>
    <xf numFmtId="43" fontId="6" fillId="4" borderId="91" xfId="0" applyNumberFormat="1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left" vertical="center" wrapText="1" readingOrder="1"/>
    </xf>
    <xf numFmtId="0" fontId="6" fillId="4" borderId="100" xfId="0" applyFont="1" applyFill="1" applyBorder="1" applyAlignment="1">
      <alignment horizontal="center" vertical="center" wrapText="1"/>
    </xf>
    <xf numFmtId="43" fontId="14" fillId="0" borderId="57" xfId="1" applyFont="1" applyFill="1" applyBorder="1" applyAlignment="1">
      <alignment vertical="center"/>
    </xf>
    <xf numFmtId="0" fontId="12" fillId="16" borderId="36" xfId="0" applyFont="1" applyFill="1" applyBorder="1" applyAlignment="1">
      <alignment horizontal="justify" vertical="center" readingOrder="1"/>
    </xf>
    <xf numFmtId="0" fontId="7" fillId="16" borderId="36" xfId="0" applyFont="1" applyFill="1" applyBorder="1" applyAlignment="1">
      <alignment vertical="center" wrapText="1"/>
    </xf>
    <xf numFmtId="0" fontId="7" fillId="6" borderId="101" xfId="0" applyFont="1" applyFill="1" applyBorder="1" applyAlignment="1">
      <alignment horizontal="center" vertical="center" wrapText="1"/>
    </xf>
    <xf numFmtId="0" fontId="12" fillId="16" borderId="17" xfId="0" applyFont="1" applyFill="1" applyBorder="1" applyAlignment="1">
      <alignment horizontal="justify" vertical="center" readingOrder="1"/>
    </xf>
    <xf numFmtId="0" fontId="25" fillId="0" borderId="20" xfId="0" applyFont="1" applyBorder="1" applyAlignment="1">
      <alignment horizontal="left" vertical="center" wrapText="1" readingOrder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25" fillId="14" borderId="26" xfId="0" applyFont="1" applyFill="1" applyBorder="1" applyAlignment="1">
      <alignment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30" xfId="0" applyFont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35" fillId="18" borderId="102" xfId="1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justify" vertical="center" readingOrder="1"/>
    </xf>
    <xf numFmtId="0" fontId="6" fillId="0" borderId="16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left" vertical="center" wrapText="1"/>
    </xf>
    <xf numFmtId="0" fontId="9" fillId="14" borderId="79" xfId="0" applyFont="1" applyFill="1" applyBorder="1" applyAlignment="1">
      <alignment horizontal="left" vertical="center" wrapText="1"/>
    </xf>
    <xf numFmtId="0" fontId="6" fillId="0" borderId="94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 wrapText="1"/>
    </xf>
    <xf numFmtId="0" fontId="5" fillId="0" borderId="104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0" fontId="21" fillId="11" borderId="45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45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45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10" borderId="20" xfId="0" applyFont="1" applyFill="1" applyBorder="1" applyAlignment="1">
      <alignment horizontal="center" vertical="center" wrapText="1"/>
    </xf>
    <xf numFmtId="0" fontId="21" fillId="10" borderId="45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5" fillId="20" borderId="5" xfId="0" applyFont="1" applyFill="1" applyBorder="1" applyAlignment="1">
      <alignment vertical="center"/>
    </xf>
    <xf numFmtId="0" fontId="5" fillId="20" borderId="6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276AB"/>
      <color rgb="FF6FA0EF"/>
      <color rgb="FFF6A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bana\Documents\DOKUMENTA%20ALBANA\PUNIME%20NE%20VITE\PLANI%20I%20MOSHIMIT%202019%202025\plani%20i%20veprimit\Albani\STRATEGJIA%20E%20SISITEMUAR%20PAS%20ARLINDES\Plan%20Veprimi%20Moshimi%20%203%20politikat%2010%20shtator%2019%20drafti%20i%20tr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mbledhesja"/>
      <sheetName val="Politika 1"/>
      <sheetName val="Politika 2"/>
      <sheetName val="Politika 3"/>
      <sheetName val="Graf"/>
    </sheetNames>
    <sheetDataSet>
      <sheetData sheetId="0"/>
      <sheetData sheetId="1"/>
      <sheetData sheetId="2">
        <row r="9">
          <cell r="AS9">
            <v>841431.8</v>
          </cell>
          <cell r="BE9">
            <v>832336.8</v>
          </cell>
          <cell r="BQ9">
            <v>817227.8</v>
          </cell>
        </row>
      </sheetData>
      <sheetData sheetId="3">
        <row r="9">
          <cell r="AS9">
            <v>690727.60000000009</v>
          </cell>
          <cell r="BE9">
            <v>919136.8</v>
          </cell>
          <cell r="BQ9">
            <v>1147546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topLeftCell="B6" zoomScale="67" zoomScaleNormal="67" workbookViewId="0">
      <selection activeCell="K18" sqref="K18"/>
    </sheetView>
  </sheetViews>
  <sheetFormatPr defaultColWidth="14.42578125" defaultRowHeight="15" x14ac:dyDescent="0.25"/>
  <cols>
    <col min="1" max="1" width="8.140625" style="9" customWidth="1"/>
    <col min="2" max="2" width="47.28515625" style="9" customWidth="1"/>
    <col min="3" max="3" width="32" style="9" customWidth="1"/>
    <col min="4" max="4" width="10.7109375" style="9" customWidth="1"/>
    <col min="5" max="5" width="14.5703125" style="9" customWidth="1"/>
    <col min="6" max="6" width="12.7109375" style="9" customWidth="1"/>
    <col min="7" max="7" width="14.7109375" style="9" customWidth="1"/>
    <col min="8" max="8" width="18.140625" style="9" customWidth="1"/>
    <col min="9" max="9" width="17.28515625" style="9" customWidth="1"/>
    <col min="10" max="12" width="17.7109375" style="9" customWidth="1"/>
    <col min="13" max="13" width="18.42578125" style="9" customWidth="1"/>
    <col min="14" max="14" width="12.7109375" style="9" customWidth="1"/>
    <col min="15" max="15" width="14.140625" style="9" customWidth="1"/>
    <col min="16" max="16" width="21.28515625" style="9" customWidth="1"/>
    <col min="17" max="17" width="25.28515625" style="9" customWidth="1"/>
    <col min="18" max="18" width="15.7109375" style="9" customWidth="1"/>
    <col min="19" max="16384" width="14.42578125" style="9"/>
  </cols>
  <sheetData>
    <row r="1" spans="1:19" ht="22.9" customHeight="1" x14ac:dyDescent="0.25">
      <c r="A1" s="7"/>
      <c r="B1" s="8" t="s">
        <v>0</v>
      </c>
      <c r="C1" s="8"/>
      <c r="P1" s="301"/>
      <c r="Q1" s="301"/>
      <c r="R1" s="301"/>
    </row>
    <row r="2" spans="1:19" ht="27.6" customHeight="1" x14ac:dyDescent="0.25">
      <c r="A2" s="305" t="s">
        <v>12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7"/>
    </row>
    <row r="3" spans="1:19" ht="46.9" customHeight="1" x14ac:dyDescent="0.25">
      <c r="A3" s="305" t="s">
        <v>170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7"/>
    </row>
    <row r="4" spans="1:19" ht="46.9" customHeight="1" thickBot="1" x14ac:dyDescent="0.3">
      <c r="A4" s="317" t="s">
        <v>1</v>
      </c>
      <c r="B4" s="317"/>
      <c r="C4" s="304" t="s">
        <v>2</v>
      </c>
      <c r="D4" s="315" t="s">
        <v>15</v>
      </c>
      <c r="E4" s="316"/>
      <c r="F4" s="323" t="s">
        <v>64</v>
      </c>
      <c r="G4" s="324"/>
      <c r="H4" s="324"/>
      <c r="I4" s="324"/>
      <c r="J4" s="324"/>
      <c r="K4" s="318"/>
      <c r="L4" s="317" t="s">
        <v>68</v>
      </c>
      <c r="M4" s="312" t="s">
        <v>67</v>
      </c>
      <c r="N4" s="313"/>
      <c r="O4" s="304" t="s">
        <v>69</v>
      </c>
      <c r="P4" s="310" t="s">
        <v>103</v>
      </c>
      <c r="Q4" s="312" t="s">
        <v>104</v>
      </c>
      <c r="R4" s="313"/>
      <c r="S4" s="314" t="s">
        <v>107</v>
      </c>
    </row>
    <row r="5" spans="1:19" ht="46.9" customHeight="1" thickBot="1" x14ac:dyDescent="0.3">
      <c r="A5" s="321"/>
      <c r="B5" s="321"/>
      <c r="C5" s="322"/>
      <c r="D5" s="1" t="s">
        <v>5</v>
      </c>
      <c r="E5" s="139" t="s">
        <v>6</v>
      </c>
      <c r="F5" s="195">
        <v>2025</v>
      </c>
      <c r="G5" s="195">
        <v>2026</v>
      </c>
      <c r="H5" s="195">
        <v>2027</v>
      </c>
      <c r="I5" s="195">
        <v>2028</v>
      </c>
      <c r="J5" s="195">
        <v>2029</v>
      </c>
      <c r="K5" s="195">
        <v>2030</v>
      </c>
      <c r="L5" s="318"/>
      <c r="M5" s="3" t="s">
        <v>65</v>
      </c>
      <c r="N5" s="3" t="s">
        <v>66</v>
      </c>
      <c r="O5" s="304"/>
      <c r="P5" s="311"/>
      <c r="Q5" s="3" t="s">
        <v>105</v>
      </c>
      <c r="R5" s="3" t="s">
        <v>106</v>
      </c>
      <c r="S5" s="314"/>
    </row>
    <row r="6" spans="1:19" ht="46.9" customHeight="1" thickBot="1" x14ac:dyDescent="0.3">
      <c r="A6" s="319" t="s">
        <v>11</v>
      </c>
      <c r="B6" s="320"/>
      <c r="C6" s="13"/>
      <c r="D6" s="14"/>
      <c r="E6" s="15"/>
      <c r="F6" s="214">
        <f>F7+F25</f>
        <v>910134.66363636369</v>
      </c>
      <c r="G6" s="214">
        <f t="shared" ref="G6:O6" si="0">G7+G25</f>
        <v>210395113.86363637</v>
      </c>
      <c r="H6" s="214">
        <f t="shared" si="0"/>
        <v>210716134.96363637</v>
      </c>
      <c r="I6" s="214">
        <f t="shared" si="0"/>
        <v>210910756.67363635</v>
      </c>
      <c r="J6" s="214">
        <f t="shared" si="0"/>
        <v>211049196.50963637</v>
      </c>
      <c r="K6" s="214">
        <f t="shared" si="0"/>
        <v>211196443.03198633</v>
      </c>
      <c r="L6" s="214">
        <f t="shared" si="0"/>
        <v>1055177779.7061683</v>
      </c>
      <c r="M6" s="214">
        <f t="shared" si="0"/>
        <v>1053913526.8431681</v>
      </c>
      <c r="N6" s="214">
        <f t="shared" si="0"/>
        <v>278767.43150000001</v>
      </c>
      <c r="O6" s="215">
        <f t="shared" si="0"/>
        <v>987985.43149999995</v>
      </c>
      <c r="P6" s="216">
        <f>P7+P25</f>
        <v>10551777797.061682</v>
      </c>
      <c r="Q6" s="214">
        <f t="shared" ref="Q6:S6" si="1">Q7+Q25</f>
        <v>10539135268.431683</v>
      </c>
      <c r="R6" s="214">
        <f t="shared" si="1"/>
        <v>2787674.3149999999</v>
      </c>
      <c r="S6" s="217">
        <f t="shared" si="1"/>
        <v>9879854.3149999995</v>
      </c>
    </row>
    <row r="7" spans="1:19" ht="48" customHeight="1" thickBot="1" x14ac:dyDescent="0.3">
      <c r="A7" s="308" t="s">
        <v>70</v>
      </c>
      <c r="B7" s="309"/>
      <c r="C7" s="141"/>
      <c r="D7" s="142"/>
      <c r="E7" s="143"/>
      <c r="F7" s="218">
        <f>F8+F16+F21</f>
        <v>860334.66363636369</v>
      </c>
      <c r="G7" s="218">
        <f t="shared" ref="G7:O7" si="2">G8+G16+G21</f>
        <v>210320953.86363637</v>
      </c>
      <c r="H7" s="218">
        <f t="shared" si="2"/>
        <v>210636274.96363637</v>
      </c>
      <c r="I7" s="218">
        <f t="shared" si="2"/>
        <v>210830466.67363635</v>
      </c>
      <c r="J7" s="218">
        <f t="shared" si="2"/>
        <v>210965450.50963637</v>
      </c>
      <c r="K7" s="218">
        <f t="shared" si="2"/>
        <v>211105158.83198634</v>
      </c>
      <c r="L7" s="218">
        <f t="shared" si="2"/>
        <v>1054718639.5061682</v>
      </c>
      <c r="M7" s="218">
        <f t="shared" si="2"/>
        <v>1053769325.8431681</v>
      </c>
      <c r="N7" s="218">
        <f t="shared" si="2"/>
        <v>83097.8315</v>
      </c>
      <c r="O7" s="219">
        <f t="shared" si="2"/>
        <v>866215.83149999997</v>
      </c>
      <c r="P7" s="220">
        <f>P8+P16+P21</f>
        <v>10547186395.061682</v>
      </c>
      <c r="Q7" s="221">
        <f t="shared" ref="Q7:S7" si="3">Q8+Q16+Q21</f>
        <v>10537693258.431683</v>
      </c>
      <c r="R7" s="221">
        <f t="shared" si="3"/>
        <v>830978.31499999994</v>
      </c>
      <c r="S7" s="222">
        <f t="shared" si="3"/>
        <v>8662158.3149999995</v>
      </c>
    </row>
    <row r="8" spans="1:19" ht="129" customHeight="1" x14ac:dyDescent="0.25">
      <c r="A8" s="10" t="s">
        <v>127</v>
      </c>
      <c r="B8" s="38" t="s">
        <v>20</v>
      </c>
      <c r="C8" s="290" t="s">
        <v>96</v>
      </c>
      <c r="D8" s="10">
        <v>2025</v>
      </c>
      <c r="E8" s="10">
        <v>2030</v>
      </c>
      <c r="F8" s="223">
        <f>SUM(F9:F15)</f>
        <v>24020</v>
      </c>
      <c r="G8" s="223">
        <f t="shared" ref="G8:O8" si="4">SUM(G9:G15)</f>
        <v>209318350</v>
      </c>
      <c r="H8" s="223">
        <f t="shared" si="4"/>
        <v>209316450</v>
      </c>
      <c r="I8" s="223">
        <f t="shared" si="4"/>
        <v>209315850</v>
      </c>
      <c r="J8" s="223">
        <f t="shared" si="4"/>
        <v>209315850</v>
      </c>
      <c r="K8" s="223">
        <f t="shared" si="4"/>
        <v>209315850</v>
      </c>
      <c r="L8" s="224">
        <f t="shared" si="4"/>
        <v>1046606370</v>
      </c>
      <c r="M8" s="224">
        <f t="shared" si="4"/>
        <v>1046605870</v>
      </c>
      <c r="N8" s="224">
        <f t="shared" si="4"/>
        <v>500</v>
      </c>
      <c r="O8" s="225">
        <f t="shared" si="4"/>
        <v>0</v>
      </c>
      <c r="P8" s="226">
        <f>L8*1000/100</f>
        <v>10466063700</v>
      </c>
      <c r="Q8" s="224">
        <f>M8*1000/100</f>
        <v>10466058700</v>
      </c>
      <c r="R8" s="224">
        <f>N8*1000/100</f>
        <v>5000</v>
      </c>
      <c r="S8" s="227">
        <v>0</v>
      </c>
    </row>
    <row r="9" spans="1:19" ht="82.15" customHeight="1" x14ac:dyDescent="0.25">
      <c r="A9" s="4" t="s">
        <v>22</v>
      </c>
      <c r="B9" s="189" t="s">
        <v>171</v>
      </c>
      <c r="C9" s="185" t="s">
        <v>14</v>
      </c>
      <c r="D9" s="166">
        <v>2026</v>
      </c>
      <c r="E9" s="5">
        <v>2030</v>
      </c>
      <c r="F9" s="228">
        <f>'Politika 1'!Q10</f>
        <v>1000</v>
      </c>
      <c r="G9" s="228">
        <f>'Politika 1'!AA10</f>
        <v>209266200</v>
      </c>
      <c r="H9" s="228">
        <f>'Politika 1'!AK10</f>
        <v>209266200</v>
      </c>
      <c r="I9" s="228">
        <f>'Politika 1'!AU10</f>
        <v>209266200</v>
      </c>
      <c r="J9" s="228">
        <f>'Politika 1'!BE10</f>
        <v>209266200</v>
      </c>
      <c r="K9" s="228">
        <f>'Politika 1'!BO10</f>
        <v>209266200</v>
      </c>
      <c r="L9" s="229">
        <f>SUM(F9:K9)</f>
        <v>1046332000</v>
      </c>
      <c r="M9" s="229">
        <f>'Politika 1'!I10</f>
        <v>1046332000</v>
      </c>
      <c r="N9" s="229">
        <f>'Politika 1'!J10</f>
        <v>0</v>
      </c>
      <c r="O9" s="230">
        <f>'Politika 1'!K10</f>
        <v>0</v>
      </c>
      <c r="P9" s="231">
        <f t="shared" ref="P9:P15" si="5">L9*1000/100</f>
        <v>10463320000</v>
      </c>
      <c r="Q9" s="232">
        <f t="shared" ref="Q9:Q15" si="6">M9*1000/100</f>
        <v>10463320000</v>
      </c>
      <c r="R9" s="232">
        <f t="shared" ref="R9:R15" si="7">N9*1000/100</f>
        <v>0</v>
      </c>
      <c r="S9" s="233">
        <v>0</v>
      </c>
    </row>
    <row r="10" spans="1:19" ht="82.15" customHeight="1" x14ac:dyDescent="0.25">
      <c r="A10" s="4" t="s">
        <v>23</v>
      </c>
      <c r="B10" s="112" t="s">
        <v>128</v>
      </c>
      <c r="C10" s="186" t="s">
        <v>21</v>
      </c>
      <c r="D10" s="166">
        <v>2025</v>
      </c>
      <c r="E10" s="5">
        <v>2030</v>
      </c>
      <c r="F10" s="228">
        <f>'Politika 1'!Q11</f>
        <v>18000</v>
      </c>
      <c r="G10" s="228">
        <f>'Politika 1'!AA11</f>
        <v>18000</v>
      </c>
      <c r="H10" s="228">
        <f>'Politika 1'!AK11</f>
        <v>18000</v>
      </c>
      <c r="I10" s="228">
        <f>'Politika 1'!AU11</f>
        <v>18000</v>
      </c>
      <c r="J10" s="228">
        <f>'Politika 1'!BE11</f>
        <v>18000</v>
      </c>
      <c r="K10" s="228">
        <f>'Politika 1'!BO11</f>
        <v>18000</v>
      </c>
      <c r="L10" s="229">
        <f t="shared" ref="L10:L15" si="8">SUM(F10:K10)</f>
        <v>108000</v>
      </c>
      <c r="M10" s="229">
        <f>'Politika 1'!I11</f>
        <v>108000</v>
      </c>
      <c r="N10" s="229">
        <f>'Politika 1'!J11</f>
        <v>0</v>
      </c>
      <c r="O10" s="230">
        <f>'Politika 1'!K11</f>
        <v>0</v>
      </c>
      <c r="P10" s="231">
        <f t="shared" si="5"/>
        <v>1080000</v>
      </c>
      <c r="Q10" s="232">
        <f t="shared" si="6"/>
        <v>1080000</v>
      </c>
      <c r="R10" s="232">
        <f t="shared" si="7"/>
        <v>0</v>
      </c>
      <c r="S10" s="233">
        <v>0</v>
      </c>
    </row>
    <row r="11" spans="1:19" ht="82.15" customHeight="1" x14ac:dyDescent="0.25">
      <c r="A11" s="4" t="s">
        <v>24</v>
      </c>
      <c r="B11" s="112" t="s">
        <v>129</v>
      </c>
      <c r="C11" s="291" t="s">
        <v>26</v>
      </c>
      <c r="D11" s="187">
        <v>2026</v>
      </c>
      <c r="E11" s="188">
        <v>2030</v>
      </c>
      <c r="F11" s="228">
        <f>'Politika 1'!Q12</f>
        <v>0</v>
      </c>
      <c r="G11" s="228">
        <f>'Politika 1'!AA12</f>
        <v>0</v>
      </c>
      <c r="H11" s="228">
        <f>'Politika 1'!AK12</f>
        <v>0</v>
      </c>
      <c r="I11" s="228">
        <f>'Politika 1'!AU12</f>
        <v>0</v>
      </c>
      <c r="J11" s="228">
        <f>'Politika 1'!BE12</f>
        <v>0</v>
      </c>
      <c r="K11" s="228">
        <f>'Politika 1'!BO12</f>
        <v>0</v>
      </c>
      <c r="L11" s="229">
        <f t="shared" si="8"/>
        <v>0</v>
      </c>
      <c r="M11" s="229">
        <f>'Politika 1'!I12</f>
        <v>0</v>
      </c>
      <c r="N11" s="229">
        <f>'Politika 1'!J12</f>
        <v>0</v>
      </c>
      <c r="O11" s="230">
        <f>'Politika 1'!K12</f>
        <v>0</v>
      </c>
      <c r="P11" s="231">
        <f t="shared" si="5"/>
        <v>0</v>
      </c>
      <c r="Q11" s="232">
        <f t="shared" si="6"/>
        <v>0</v>
      </c>
      <c r="R11" s="232">
        <f t="shared" si="7"/>
        <v>0</v>
      </c>
      <c r="S11" s="233">
        <v>0</v>
      </c>
    </row>
    <row r="12" spans="1:19" ht="82.15" customHeight="1" x14ac:dyDescent="0.25">
      <c r="A12" s="4" t="s">
        <v>130</v>
      </c>
      <c r="B12" s="112" t="s">
        <v>131</v>
      </c>
      <c r="C12" s="291" t="s">
        <v>28</v>
      </c>
      <c r="D12" s="187">
        <v>2026</v>
      </c>
      <c r="E12" s="188">
        <v>2030</v>
      </c>
      <c r="F12" s="228">
        <f>'Politika 1'!Q13</f>
        <v>1500</v>
      </c>
      <c r="G12" s="228">
        <f>'Politika 1'!AA13</f>
        <v>0</v>
      </c>
      <c r="H12" s="228">
        <f>'Politika 1'!AK13</f>
        <v>0</v>
      </c>
      <c r="I12" s="228">
        <f>'Politika 1'!AU13</f>
        <v>0</v>
      </c>
      <c r="J12" s="228">
        <f>'Politika 1'!BE13</f>
        <v>0</v>
      </c>
      <c r="K12" s="228">
        <f>'Politika 1'!BO13</f>
        <v>0</v>
      </c>
      <c r="L12" s="229">
        <f t="shared" si="8"/>
        <v>1500</v>
      </c>
      <c r="M12" s="229">
        <f>'Politika 1'!I13</f>
        <v>1500</v>
      </c>
      <c r="N12" s="229">
        <f>'Politika 1'!J13</f>
        <v>0</v>
      </c>
      <c r="O12" s="230">
        <f>'Politika 1'!K13</f>
        <v>0</v>
      </c>
      <c r="P12" s="231">
        <f t="shared" si="5"/>
        <v>15000</v>
      </c>
      <c r="Q12" s="232">
        <f t="shared" si="6"/>
        <v>15000</v>
      </c>
      <c r="R12" s="232">
        <f t="shared" si="7"/>
        <v>0</v>
      </c>
      <c r="S12" s="233">
        <v>0</v>
      </c>
    </row>
    <row r="13" spans="1:19" ht="76.150000000000006" customHeight="1" x14ac:dyDescent="0.25">
      <c r="A13" s="4" t="s">
        <v>133</v>
      </c>
      <c r="B13" s="112" t="s">
        <v>132</v>
      </c>
      <c r="C13" s="291" t="s">
        <v>29</v>
      </c>
      <c r="D13" s="187">
        <v>2026</v>
      </c>
      <c r="E13" s="188">
        <v>2027</v>
      </c>
      <c r="F13" s="228">
        <f>'Politika 1'!Q14</f>
        <v>0</v>
      </c>
      <c r="G13" s="228">
        <f>'Politika 1'!AA14</f>
        <v>2500</v>
      </c>
      <c r="H13" s="228">
        <f>'Politika 1'!AK14</f>
        <v>0</v>
      </c>
      <c r="I13" s="228">
        <f>'Politika 1'!AU14</f>
        <v>0</v>
      </c>
      <c r="J13" s="228">
        <f>'Politika 1'!BE14</f>
        <v>0</v>
      </c>
      <c r="K13" s="228">
        <f>'Politika 1'!BO14</f>
        <v>0</v>
      </c>
      <c r="L13" s="229">
        <f t="shared" si="8"/>
        <v>2500</v>
      </c>
      <c r="M13" s="229">
        <f>'Politika 1'!I14</f>
        <v>2000</v>
      </c>
      <c r="N13" s="229">
        <f>'Politika 1'!J14</f>
        <v>500</v>
      </c>
      <c r="O13" s="230">
        <f>'Politika 1'!K14</f>
        <v>0</v>
      </c>
      <c r="P13" s="231">
        <f t="shared" si="5"/>
        <v>25000</v>
      </c>
      <c r="Q13" s="232">
        <f t="shared" si="6"/>
        <v>20000</v>
      </c>
      <c r="R13" s="232">
        <f t="shared" si="7"/>
        <v>5000</v>
      </c>
      <c r="S13" s="233">
        <v>0</v>
      </c>
    </row>
    <row r="14" spans="1:19" ht="99" customHeight="1" x14ac:dyDescent="0.25">
      <c r="A14" s="4" t="s">
        <v>134</v>
      </c>
      <c r="B14" s="183" t="s">
        <v>135</v>
      </c>
      <c r="C14" s="291" t="s">
        <v>30</v>
      </c>
      <c r="D14" s="187">
        <v>2027</v>
      </c>
      <c r="E14" s="188">
        <v>2027</v>
      </c>
      <c r="F14" s="228">
        <f>'Politika 1'!Q15</f>
        <v>0</v>
      </c>
      <c r="G14" s="228">
        <f>'Politika 1'!AA15</f>
        <v>0</v>
      </c>
      <c r="H14" s="228">
        <f>'Politika 1'!AK15</f>
        <v>600</v>
      </c>
      <c r="I14" s="228">
        <f>'Politika 1'!AU15</f>
        <v>0</v>
      </c>
      <c r="J14" s="228">
        <f>'Politika 1'!BE15</f>
        <v>0</v>
      </c>
      <c r="K14" s="228">
        <f>'Politika 1'!BO15</f>
        <v>0</v>
      </c>
      <c r="L14" s="229">
        <f t="shared" si="8"/>
        <v>600</v>
      </c>
      <c r="M14" s="229">
        <f>'Politika 1'!I15</f>
        <v>600</v>
      </c>
      <c r="N14" s="229">
        <f>'Politika 1'!J15</f>
        <v>0</v>
      </c>
      <c r="O14" s="230">
        <f>'Politika 1'!K15</f>
        <v>0</v>
      </c>
      <c r="P14" s="231">
        <f t="shared" si="5"/>
        <v>6000</v>
      </c>
      <c r="Q14" s="232">
        <f t="shared" si="6"/>
        <v>6000</v>
      </c>
      <c r="R14" s="232">
        <f t="shared" si="7"/>
        <v>0</v>
      </c>
      <c r="S14" s="233">
        <v>0</v>
      </c>
    </row>
    <row r="15" spans="1:19" ht="46.9" customHeight="1" thickBot="1" x14ac:dyDescent="0.3">
      <c r="A15" s="4" t="s">
        <v>137</v>
      </c>
      <c r="B15" s="182" t="s">
        <v>136</v>
      </c>
      <c r="C15" s="292" t="s">
        <v>33</v>
      </c>
      <c r="D15" s="187">
        <v>2026</v>
      </c>
      <c r="E15" s="188">
        <v>2030</v>
      </c>
      <c r="F15" s="228">
        <f>'Politika 1'!Q16</f>
        <v>3520</v>
      </c>
      <c r="G15" s="228">
        <f>'Politika 1'!AA16</f>
        <v>31650</v>
      </c>
      <c r="H15" s="228">
        <f>'Politika 1'!AK16</f>
        <v>31650</v>
      </c>
      <c r="I15" s="228">
        <f>'Politika 1'!AU16</f>
        <v>31650</v>
      </c>
      <c r="J15" s="228">
        <f>'Politika 1'!BE16</f>
        <v>31650</v>
      </c>
      <c r="K15" s="228">
        <f>'Politika 1'!BO16</f>
        <v>31650</v>
      </c>
      <c r="L15" s="229">
        <f t="shared" si="8"/>
        <v>161770</v>
      </c>
      <c r="M15" s="229">
        <f>'Politika 1'!I16</f>
        <v>161770</v>
      </c>
      <c r="N15" s="229">
        <f>'Politika 1'!J16</f>
        <v>0</v>
      </c>
      <c r="O15" s="230">
        <f>'Politika 1'!K16</f>
        <v>0</v>
      </c>
      <c r="P15" s="231">
        <f t="shared" si="5"/>
        <v>1617700</v>
      </c>
      <c r="Q15" s="232">
        <f t="shared" si="6"/>
        <v>1617700</v>
      </c>
      <c r="R15" s="232">
        <f t="shared" si="7"/>
        <v>0</v>
      </c>
      <c r="S15" s="233">
        <v>0</v>
      </c>
    </row>
    <row r="16" spans="1:19" ht="109.15" customHeight="1" thickBot="1" x14ac:dyDescent="0.3">
      <c r="A16" s="200" t="s">
        <v>8</v>
      </c>
      <c r="B16" s="198" t="s">
        <v>138</v>
      </c>
      <c r="C16" s="293" t="s">
        <v>108</v>
      </c>
      <c r="D16" s="35">
        <v>2025</v>
      </c>
      <c r="E16" s="35">
        <v>2030</v>
      </c>
      <c r="F16" s="234">
        <f>SUM(F17:F20)</f>
        <v>807778.3</v>
      </c>
      <c r="G16" s="234">
        <f t="shared" ref="G16:O16" si="9">SUM(G17:G20)</f>
        <v>972237.5</v>
      </c>
      <c r="H16" s="234">
        <f t="shared" si="9"/>
        <v>1285445.6000000001</v>
      </c>
      <c r="I16" s="234">
        <f t="shared" si="9"/>
        <v>1478023.01</v>
      </c>
      <c r="J16" s="234">
        <f t="shared" si="9"/>
        <v>1612571.1159999999</v>
      </c>
      <c r="K16" s="234">
        <f t="shared" si="9"/>
        <v>1749600.1353500001</v>
      </c>
      <c r="L16" s="235">
        <f>SUM(L17:L20)</f>
        <v>7905655.6613500006</v>
      </c>
      <c r="M16" s="235">
        <f t="shared" si="9"/>
        <v>7114037.6613500006</v>
      </c>
      <c r="N16" s="235">
        <f t="shared" si="9"/>
        <v>0</v>
      </c>
      <c r="O16" s="236">
        <f t="shared" si="9"/>
        <v>791618</v>
      </c>
      <c r="P16" s="237">
        <f>L16*1000/100</f>
        <v>79056556.613499999</v>
      </c>
      <c r="Q16" s="238">
        <f>M16*1000/100</f>
        <v>71140376.613499999</v>
      </c>
      <c r="R16" s="235">
        <f>N16*1000/100</f>
        <v>0</v>
      </c>
      <c r="S16" s="239">
        <f>O16*1000/100</f>
        <v>7916180</v>
      </c>
    </row>
    <row r="17" spans="1:19" ht="46.9" customHeight="1" x14ac:dyDescent="0.25">
      <c r="A17" s="29" t="s">
        <v>34</v>
      </c>
      <c r="B17" s="210" t="s">
        <v>174</v>
      </c>
      <c r="C17" s="211" t="s">
        <v>35</v>
      </c>
      <c r="D17" s="32">
        <v>2025</v>
      </c>
      <c r="E17" s="33">
        <v>2030</v>
      </c>
      <c r="F17" s="240">
        <f>'Politika 1'!Q18</f>
        <v>17750</v>
      </c>
      <c r="G17" s="241">
        <f>'Politika 1'!AA18</f>
        <v>129500</v>
      </c>
      <c r="H17" s="241">
        <f>'Politika 1'!AK18</f>
        <v>241250</v>
      </c>
      <c r="I17" s="241">
        <f>'Politika 1'!AU18</f>
        <v>346400</v>
      </c>
      <c r="J17" s="241">
        <f>'Politika 1'!BE18</f>
        <v>451550</v>
      </c>
      <c r="K17" s="242">
        <f>'Politika 1'!BO18</f>
        <v>556700</v>
      </c>
      <c r="L17" s="243">
        <f>SUM(F17:K17)</f>
        <v>1743150</v>
      </c>
      <c r="M17" s="243">
        <f>'Politika 1'!I18</f>
        <v>1743150</v>
      </c>
      <c r="N17" s="243">
        <f>'Politika 1'!J18</f>
        <v>0</v>
      </c>
      <c r="O17" s="244">
        <f>'Politika 1'!K18</f>
        <v>0</v>
      </c>
      <c r="P17" s="231">
        <f t="shared" ref="P17:P20" si="10">L17*1000/100</f>
        <v>17431500</v>
      </c>
      <c r="Q17" s="232">
        <f t="shared" ref="Q17:Q24" si="11">M17*1000/100</f>
        <v>17431500</v>
      </c>
      <c r="R17" s="232">
        <v>0</v>
      </c>
      <c r="S17" s="233">
        <f t="shared" ref="S17:S24" si="12">O17*1000/100</f>
        <v>0</v>
      </c>
    </row>
    <row r="18" spans="1:19" ht="97.9" customHeight="1" x14ac:dyDescent="0.25">
      <c r="A18" s="25" t="s">
        <v>36</v>
      </c>
      <c r="B18" s="20" t="s">
        <v>139</v>
      </c>
      <c r="C18" s="186" t="s">
        <v>126</v>
      </c>
      <c r="D18" s="166">
        <v>2025</v>
      </c>
      <c r="E18" s="5">
        <v>2030</v>
      </c>
      <c r="F18" s="228">
        <f>'Politika 1'!Q19</f>
        <v>60070</v>
      </c>
      <c r="G18" s="245">
        <f>'Politika 1'!AA19</f>
        <v>113850</v>
      </c>
      <c r="H18" s="245">
        <f>'Politika 1'!AK19</f>
        <v>303712.5</v>
      </c>
      <c r="I18" s="245">
        <f>'Politika 1'!AU19</f>
        <v>359012.5</v>
      </c>
      <c r="J18" s="245">
        <f>'Politika 1'!BE19</f>
        <v>359012.5</v>
      </c>
      <c r="K18" s="246">
        <f>'Politika 1'!BO19</f>
        <v>359012.5</v>
      </c>
      <c r="L18" s="229">
        <f>SUM(F18:K18)</f>
        <v>1554670</v>
      </c>
      <c r="M18" s="229">
        <f>'Politika 1'!I19</f>
        <v>1000920</v>
      </c>
      <c r="N18" s="229">
        <f>'Politika 1'!J19</f>
        <v>0</v>
      </c>
      <c r="O18" s="230">
        <f>'Politika 1'!K19</f>
        <v>553750</v>
      </c>
      <c r="P18" s="231">
        <f t="shared" si="10"/>
        <v>15546700</v>
      </c>
      <c r="Q18" s="232">
        <f t="shared" si="11"/>
        <v>10009200</v>
      </c>
      <c r="R18" s="232">
        <v>0</v>
      </c>
      <c r="S18" s="233">
        <f t="shared" si="12"/>
        <v>5537500</v>
      </c>
    </row>
    <row r="19" spans="1:19" ht="106.15" customHeight="1" x14ac:dyDescent="0.25">
      <c r="A19" s="25" t="s">
        <v>141</v>
      </c>
      <c r="B19" s="21" t="s">
        <v>140</v>
      </c>
      <c r="C19" s="291" t="s">
        <v>109</v>
      </c>
      <c r="D19" s="187">
        <v>2025</v>
      </c>
      <c r="E19" s="188">
        <v>2030</v>
      </c>
      <c r="F19" s="228">
        <f>'Politika 1'!Q20</f>
        <v>335758.3</v>
      </c>
      <c r="G19" s="245">
        <f>'Politika 1'!AA20</f>
        <v>317687.5</v>
      </c>
      <c r="H19" s="245">
        <f>'Politika 1'!AK20</f>
        <v>330283.09999999998</v>
      </c>
      <c r="I19" s="245">
        <f>'Politika 1'!AU20</f>
        <v>357410.51</v>
      </c>
      <c r="J19" s="245">
        <f>'Politika 1'!BE20</f>
        <v>386808.61600000004</v>
      </c>
      <c r="K19" s="246">
        <f>'Politika 1'!BO20</f>
        <v>418687.63535</v>
      </c>
      <c r="L19" s="229">
        <f>SUM(F19:K19)</f>
        <v>2146635.6613500002</v>
      </c>
      <c r="M19" s="229">
        <f>'Politika 1'!I20</f>
        <v>2010767.6613500002</v>
      </c>
      <c r="N19" s="229">
        <f>'Politika 1'!J20</f>
        <v>0</v>
      </c>
      <c r="O19" s="230">
        <f>'Politika 1'!K20</f>
        <v>135868</v>
      </c>
      <c r="P19" s="231">
        <f t="shared" si="10"/>
        <v>21466356.613500003</v>
      </c>
      <c r="Q19" s="232">
        <f t="shared" si="11"/>
        <v>20107676.613500003</v>
      </c>
      <c r="R19" s="232">
        <v>0</v>
      </c>
      <c r="S19" s="233">
        <f t="shared" si="12"/>
        <v>1358680</v>
      </c>
    </row>
    <row r="20" spans="1:19" ht="91.9" customHeight="1" thickBot="1" x14ac:dyDescent="0.3">
      <c r="A20" s="25" t="s">
        <v>142</v>
      </c>
      <c r="B20" s="282" t="s">
        <v>175</v>
      </c>
      <c r="C20" s="294" t="s">
        <v>98</v>
      </c>
      <c r="D20" s="287">
        <v>2025</v>
      </c>
      <c r="E20" s="288">
        <v>2030</v>
      </c>
      <c r="F20" s="247">
        <f>'Politika 1'!Q21</f>
        <v>394200</v>
      </c>
      <c r="G20" s="248">
        <f>'Politika 1'!AA21</f>
        <v>411200</v>
      </c>
      <c r="H20" s="248">
        <f>'Politika 1'!AK21</f>
        <v>410200</v>
      </c>
      <c r="I20" s="248">
        <f>'Politika 1'!AU21</f>
        <v>415200</v>
      </c>
      <c r="J20" s="248">
        <f>'Politika 1'!BE21</f>
        <v>415200</v>
      </c>
      <c r="K20" s="249">
        <f>'Politika 1'!BO21</f>
        <v>415200</v>
      </c>
      <c r="L20" s="250">
        <f>SUM(F20:K20)</f>
        <v>2461200</v>
      </c>
      <c r="M20" s="250">
        <f>'Politika 1'!I21</f>
        <v>2359200</v>
      </c>
      <c r="N20" s="250">
        <f>'Politika 1'!J21</f>
        <v>0</v>
      </c>
      <c r="O20" s="251">
        <f>'Politika 1'!K21</f>
        <v>102000</v>
      </c>
      <c r="P20" s="231">
        <f t="shared" si="10"/>
        <v>24612000</v>
      </c>
      <c r="Q20" s="232">
        <f t="shared" si="11"/>
        <v>23592000</v>
      </c>
      <c r="R20" s="232">
        <v>0</v>
      </c>
      <c r="S20" s="233">
        <f t="shared" si="12"/>
        <v>1020000</v>
      </c>
    </row>
    <row r="21" spans="1:19" ht="93.6" customHeight="1" thickBot="1" x14ac:dyDescent="0.3">
      <c r="A21" s="36" t="s">
        <v>144</v>
      </c>
      <c r="B21" s="184" t="s">
        <v>143</v>
      </c>
      <c r="C21" s="295" t="s">
        <v>74</v>
      </c>
      <c r="D21" s="36">
        <v>2025</v>
      </c>
      <c r="E21" s="36">
        <v>2030</v>
      </c>
      <c r="F21" s="252">
        <f>SUM(F22:F24)</f>
        <v>28536.363636363636</v>
      </c>
      <c r="G21" s="252">
        <f t="shared" ref="G21:N21" si="13">SUM(G22:G24)</f>
        <v>30366.363636363636</v>
      </c>
      <c r="H21" s="252">
        <f t="shared" si="13"/>
        <v>34379.363636363632</v>
      </c>
      <c r="I21" s="252">
        <f t="shared" si="13"/>
        <v>36593.663636363635</v>
      </c>
      <c r="J21" s="252">
        <f t="shared" si="13"/>
        <v>37029.393636363631</v>
      </c>
      <c r="K21" s="252">
        <f t="shared" si="13"/>
        <v>39708.696636363631</v>
      </c>
      <c r="L21" s="253">
        <f t="shared" si="13"/>
        <v>206613.84481818182</v>
      </c>
      <c r="M21" s="253">
        <f t="shared" si="13"/>
        <v>49418.181818181809</v>
      </c>
      <c r="N21" s="253">
        <f t="shared" si="13"/>
        <v>82597.8315</v>
      </c>
      <c r="O21" s="254">
        <f>SUM(O22:O24)</f>
        <v>74597.8315</v>
      </c>
      <c r="P21" s="255">
        <f>L21*1000/100</f>
        <v>2066138.4481818182</v>
      </c>
      <c r="Q21" s="235">
        <f t="shared" si="11"/>
        <v>494181.81818181806</v>
      </c>
      <c r="R21" s="235">
        <f t="shared" ref="R21:R24" si="14">N21*1000/100</f>
        <v>825978.31499999994</v>
      </c>
      <c r="S21" s="239">
        <f t="shared" si="12"/>
        <v>745978.31499999994</v>
      </c>
    </row>
    <row r="22" spans="1:19" ht="67.900000000000006" customHeight="1" x14ac:dyDescent="0.25">
      <c r="A22" s="29" t="s">
        <v>145</v>
      </c>
      <c r="B22" s="31" t="s">
        <v>146</v>
      </c>
      <c r="C22" s="31"/>
      <c r="D22" s="32">
        <v>2025</v>
      </c>
      <c r="E22" s="33">
        <v>2030</v>
      </c>
      <c r="F22" s="240">
        <f>'Politika 1'!Q23</f>
        <v>10236.363636363636</v>
      </c>
      <c r="G22" s="240">
        <f>'Politika 1'!AA23</f>
        <v>10236.363636363636</v>
      </c>
      <c r="H22" s="240">
        <f>'Politika 1'!AK23</f>
        <v>10236.363636363636</v>
      </c>
      <c r="I22" s="240">
        <f>'Politika 1'!AU23</f>
        <v>10236.363636363636</v>
      </c>
      <c r="J22" s="240">
        <f>'Politika 1'!BE23</f>
        <v>10236.363636363636</v>
      </c>
      <c r="K22" s="240">
        <f>'Politika 1'!BO23</f>
        <v>10236.363636363636</v>
      </c>
      <c r="L22" s="243">
        <f>SUM(F22:K22)</f>
        <v>61418.181818181809</v>
      </c>
      <c r="M22" s="243">
        <f>'Politika 1'!I23</f>
        <v>49418.181818181809</v>
      </c>
      <c r="N22" s="243">
        <f>'Politika 1'!J23</f>
        <v>12000</v>
      </c>
      <c r="O22" s="244">
        <f>'Politika 1'!K23</f>
        <v>0</v>
      </c>
      <c r="P22" s="231">
        <f t="shared" ref="P22:P24" si="15">L22*1000/100</f>
        <v>614181.818181818</v>
      </c>
      <c r="Q22" s="232">
        <f t="shared" si="11"/>
        <v>494181.81818181806</v>
      </c>
      <c r="R22" s="232">
        <f t="shared" si="14"/>
        <v>120000</v>
      </c>
      <c r="S22" s="233">
        <f t="shared" si="12"/>
        <v>0</v>
      </c>
    </row>
    <row r="23" spans="1:19" ht="46.9" customHeight="1" x14ac:dyDescent="0.25">
      <c r="A23" s="25" t="s">
        <v>149</v>
      </c>
      <c r="B23" s="20" t="s">
        <v>147</v>
      </c>
      <c r="C23" s="211" t="s">
        <v>74</v>
      </c>
      <c r="D23" s="32">
        <v>2027</v>
      </c>
      <c r="E23" s="33">
        <v>2028</v>
      </c>
      <c r="F23" s="240">
        <f>'Politika 1'!Q24</f>
        <v>0</v>
      </c>
      <c r="G23" s="240">
        <f>'Politika 1'!AA24</f>
        <v>0</v>
      </c>
      <c r="H23" s="240">
        <f>'Politika 1'!AK24</f>
        <v>2000</v>
      </c>
      <c r="I23" s="240">
        <f>'Politika 1'!AU24</f>
        <v>2000</v>
      </c>
      <c r="J23" s="240">
        <f>'Politika 1'!BE24</f>
        <v>0</v>
      </c>
      <c r="K23" s="240">
        <f>'Politika 1'!BO24</f>
        <v>0</v>
      </c>
      <c r="L23" s="243">
        <f>SUM(F23:K23)</f>
        <v>4000</v>
      </c>
      <c r="M23" s="243">
        <f>'Politika 1'!I24</f>
        <v>0</v>
      </c>
      <c r="N23" s="243">
        <f>'Politika 1'!J24</f>
        <v>0</v>
      </c>
      <c r="O23" s="244">
        <f>'Politika 1'!K24</f>
        <v>4000</v>
      </c>
      <c r="P23" s="231">
        <f t="shared" si="15"/>
        <v>40000</v>
      </c>
      <c r="Q23" s="232">
        <f t="shared" si="11"/>
        <v>0</v>
      </c>
      <c r="R23" s="232">
        <f t="shared" si="14"/>
        <v>0</v>
      </c>
      <c r="S23" s="233">
        <f t="shared" si="12"/>
        <v>40000</v>
      </c>
    </row>
    <row r="24" spans="1:19" ht="46.9" customHeight="1" thickBot="1" x14ac:dyDescent="0.3">
      <c r="A24" s="29" t="s">
        <v>150</v>
      </c>
      <c r="B24" s="285" t="s">
        <v>148</v>
      </c>
      <c r="C24" s="296"/>
      <c r="D24" s="196">
        <v>2025</v>
      </c>
      <c r="E24" s="196">
        <v>2030</v>
      </c>
      <c r="F24" s="256">
        <f>'Politika 1'!Q25</f>
        <v>18300</v>
      </c>
      <c r="G24" s="256">
        <f>'Politika 1'!AA25</f>
        <v>20130</v>
      </c>
      <c r="H24" s="256">
        <f>'Politika 1'!AK25</f>
        <v>22143</v>
      </c>
      <c r="I24" s="256">
        <f>'Politika 1'!AU25</f>
        <v>24357.3</v>
      </c>
      <c r="J24" s="256">
        <f>'Politika 1'!BE25</f>
        <v>26793.03</v>
      </c>
      <c r="K24" s="256">
        <f>'Politika 1'!BO25</f>
        <v>29472.332999999999</v>
      </c>
      <c r="L24" s="257">
        <f>SUM(F24:K24)</f>
        <v>141195.663</v>
      </c>
      <c r="M24" s="257">
        <f>'Politika 1'!I25</f>
        <v>0</v>
      </c>
      <c r="N24" s="257">
        <f>'Politika 1'!J25</f>
        <v>70597.8315</v>
      </c>
      <c r="O24" s="258">
        <f>'Politika 1'!K25</f>
        <v>70597.8315</v>
      </c>
      <c r="P24" s="231">
        <f t="shared" si="15"/>
        <v>1411956.63</v>
      </c>
      <c r="Q24" s="232">
        <f t="shared" si="11"/>
        <v>0</v>
      </c>
      <c r="R24" s="232">
        <f t="shared" si="14"/>
        <v>705978.31499999994</v>
      </c>
      <c r="S24" s="233">
        <f t="shared" si="12"/>
        <v>705978.31499999994</v>
      </c>
    </row>
    <row r="25" spans="1:19" ht="46.9" customHeight="1" thickBot="1" x14ac:dyDescent="0.3">
      <c r="A25" s="308" t="s">
        <v>151</v>
      </c>
      <c r="B25" s="309"/>
      <c r="C25" s="289"/>
      <c r="D25" s="142"/>
      <c r="E25" s="143"/>
      <c r="F25" s="221">
        <f>F26+F30</f>
        <v>49800</v>
      </c>
      <c r="G25" s="221">
        <f t="shared" ref="G25:K25" si="16">G26+G30</f>
        <v>74160</v>
      </c>
      <c r="H25" s="221">
        <f t="shared" si="16"/>
        <v>79860</v>
      </c>
      <c r="I25" s="221">
        <f t="shared" si="16"/>
        <v>80290</v>
      </c>
      <c r="J25" s="221">
        <f t="shared" si="16"/>
        <v>83746</v>
      </c>
      <c r="K25" s="221">
        <f t="shared" si="16"/>
        <v>91284.2</v>
      </c>
      <c r="L25" s="259">
        <f>L26+L30</f>
        <v>459140.2</v>
      </c>
      <c r="M25" s="259">
        <f t="shared" ref="M25:O25" si="17">M26+M30</f>
        <v>144201</v>
      </c>
      <c r="N25" s="259">
        <f t="shared" si="17"/>
        <v>195669.6</v>
      </c>
      <c r="O25" s="260">
        <f t="shared" si="17"/>
        <v>121769.60000000001</v>
      </c>
      <c r="P25" s="259">
        <f>P26+P30</f>
        <v>4591402</v>
      </c>
      <c r="Q25" s="259">
        <f t="shared" ref="Q25:S25" si="18">Q26+Q30</f>
        <v>1442010.0000000002</v>
      </c>
      <c r="R25" s="259">
        <f t="shared" si="18"/>
        <v>1956696</v>
      </c>
      <c r="S25" s="260">
        <f t="shared" si="18"/>
        <v>1217696</v>
      </c>
    </row>
    <row r="26" spans="1:19" ht="46.9" customHeight="1" thickBot="1" x14ac:dyDescent="0.3">
      <c r="A26" s="10" t="s">
        <v>153</v>
      </c>
      <c r="B26" s="159" t="s">
        <v>152</v>
      </c>
      <c r="C26" s="297" t="s">
        <v>95</v>
      </c>
      <c r="D26" s="10">
        <v>2025</v>
      </c>
      <c r="E26" s="199">
        <v>2030</v>
      </c>
      <c r="F26" s="261">
        <f>SUM(F27:F29)</f>
        <v>49800</v>
      </c>
      <c r="G26" s="261">
        <f t="shared" ref="G26:K26" si="19">SUM(G27:G29)</f>
        <v>52250</v>
      </c>
      <c r="H26" s="261">
        <f t="shared" si="19"/>
        <v>54650</v>
      </c>
      <c r="I26" s="261">
        <f t="shared" si="19"/>
        <v>57080</v>
      </c>
      <c r="J26" s="261">
        <f t="shared" si="19"/>
        <v>60536</v>
      </c>
      <c r="K26" s="261">
        <f t="shared" si="19"/>
        <v>64683.199999999997</v>
      </c>
      <c r="L26" s="262">
        <f>SUM(F26:K26)</f>
        <v>338999.2</v>
      </c>
      <c r="M26" s="262">
        <f>SUM(M27:M29)</f>
        <v>115800.00000000001</v>
      </c>
      <c r="N26" s="262">
        <f t="shared" ref="N26:O26" si="20">SUM(N27:N29)</f>
        <v>159449.60000000001</v>
      </c>
      <c r="O26" s="263">
        <f t="shared" si="20"/>
        <v>63749.599999999999</v>
      </c>
      <c r="P26" s="255">
        <f>L26*1000/100</f>
        <v>3389992</v>
      </c>
      <c r="Q26" s="235">
        <f t="shared" ref="Q26:S34" si="21">M26*1000/100</f>
        <v>1158000.0000000002</v>
      </c>
      <c r="R26" s="235">
        <f t="shared" si="21"/>
        <v>1594496</v>
      </c>
      <c r="S26" s="239">
        <f t="shared" si="21"/>
        <v>637496</v>
      </c>
    </row>
    <row r="27" spans="1:19" ht="70.150000000000006" customHeight="1" x14ac:dyDescent="0.25">
      <c r="A27" s="4" t="s">
        <v>155</v>
      </c>
      <c r="B27" s="160" t="s">
        <v>154</v>
      </c>
      <c r="C27" s="286" t="s">
        <v>76</v>
      </c>
      <c r="D27" s="5">
        <v>2025</v>
      </c>
      <c r="E27" s="5">
        <v>2030</v>
      </c>
      <c r="F27" s="264">
        <f>'Politika 2'!Q10</f>
        <v>2972.7272727272725</v>
      </c>
      <c r="G27" s="264">
        <f>'Politika 2'!AA10</f>
        <v>3422.7272727272725</v>
      </c>
      <c r="H27" s="264">
        <f>'Politika 2'!AK10</f>
        <v>3422.7272727272725</v>
      </c>
      <c r="I27" s="264">
        <f>'Politika 2'!AU10</f>
        <v>2972.7272727272725</v>
      </c>
      <c r="J27" s="264">
        <f>'Politika 2'!BE10</f>
        <v>2972.7272727272725</v>
      </c>
      <c r="K27" s="264">
        <f>'Politika 2'!BO10</f>
        <v>2972.7272727272725</v>
      </c>
      <c r="L27" s="265">
        <f t="shared" ref="L27:L29" si="22">SUM(F27:K27)</f>
        <v>18736.363636363636</v>
      </c>
      <c r="M27" s="265">
        <f>'Politika 2'!I10</f>
        <v>4636.363636363636</v>
      </c>
      <c r="N27" s="265">
        <f>'Politika 2'!J10</f>
        <v>0</v>
      </c>
      <c r="O27" s="266">
        <f>'Politika 2'!K10</f>
        <v>14100</v>
      </c>
      <c r="P27" s="231">
        <f t="shared" ref="P27:P29" si="23">L27*1000/100</f>
        <v>187363.63636363635</v>
      </c>
      <c r="Q27" s="232">
        <f t="shared" si="21"/>
        <v>46363.63636363636</v>
      </c>
      <c r="R27" s="232">
        <f t="shared" si="21"/>
        <v>0</v>
      </c>
      <c r="S27" s="233">
        <f t="shared" si="21"/>
        <v>141000</v>
      </c>
    </row>
    <row r="28" spans="1:19" ht="46.9" customHeight="1" x14ac:dyDescent="0.25">
      <c r="A28" s="4" t="s">
        <v>156</v>
      </c>
      <c r="B28" s="112" t="s">
        <v>157</v>
      </c>
      <c r="C28" s="298" t="s">
        <v>91</v>
      </c>
      <c r="D28" s="5">
        <v>2025</v>
      </c>
      <c r="E28" s="5">
        <v>2030</v>
      </c>
      <c r="F28" s="264">
        <f>'Politika 2'!Q11</f>
        <v>10000</v>
      </c>
      <c r="G28" s="264">
        <f>'Politika 2'!AA11</f>
        <v>12000</v>
      </c>
      <c r="H28" s="264">
        <f>'Politika 2'!AK11</f>
        <v>14400</v>
      </c>
      <c r="I28" s="264">
        <f>'Politika 2'!AU11</f>
        <v>17280</v>
      </c>
      <c r="J28" s="264">
        <f>'Politika 2'!BE11</f>
        <v>20736</v>
      </c>
      <c r="K28" s="264">
        <f>'Politika 2'!BO11</f>
        <v>24883.200000000001</v>
      </c>
      <c r="L28" s="265">
        <f t="shared" si="22"/>
        <v>99299.199999999997</v>
      </c>
      <c r="M28" s="265">
        <f>'Politika 2'!I11</f>
        <v>0</v>
      </c>
      <c r="N28" s="265">
        <f>'Politika 2'!J11</f>
        <v>49649.599999999999</v>
      </c>
      <c r="O28" s="266">
        <f>'Politika 2'!K11</f>
        <v>49649.599999999999</v>
      </c>
      <c r="P28" s="231">
        <f t="shared" si="23"/>
        <v>992992</v>
      </c>
      <c r="Q28" s="232">
        <f t="shared" si="21"/>
        <v>0</v>
      </c>
      <c r="R28" s="232">
        <f t="shared" si="21"/>
        <v>496496</v>
      </c>
      <c r="S28" s="233">
        <f t="shared" si="21"/>
        <v>496496</v>
      </c>
    </row>
    <row r="29" spans="1:19" ht="46.9" customHeight="1" thickBot="1" x14ac:dyDescent="0.3">
      <c r="A29" s="4" t="s">
        <v>159</v>
      </c>
      <c r="B29" s="112" t="s">
        <v>158</v>
      </c>
      <c r="C29" s="299" t="s">
        <v>83</v>
      </c>
      <c r="D29" s="5">
        <v>2025</v>
      </c>
      <c r="E29" s="5">
        <v>2030</v>
      </c>
      <c r="F29" s="264">
        <f>'Politika 2'!Q12</f>
        <v>36827.272727272728</v>
      </c>
      <c r="G29" s="264">
        <f>'Politika 2'!AA12</f>
        <v>36827.272727272728</v>
      </c>
      <c r="H29" s="264">
        <f>'Politika 2'!AK12</f>
        <v>36827.272727272728</v>
      </c>
      <c r="I29" s="264">
        <f>'Politika 2'!AU12</f>
        <v>36827.272727272728</v>
      </c>
      <c r="J29" s="264">
        <f>'Politika 2'!BE12</f>
        <v>36827.272727272728</v>
      </c>
      <c r="K29" s="264">
        <f>'Politika 2'!BO12</f>
        <v>36827.272727272728</v>
      </c>
      <c r="L29" s="265">
        <f t="shared" si="22"/>
        <v>220963.63636363638</v>
      </c>
      <c r="M29" s="265">
        <f>'Politika 2'!I12</f>
        <v>111163.63636363638</v>
      </c>
      <c r="N29" s="265">
        <f>'Politika 2'!J12</f>
        <v>109800</v>
      </c>
      <c r="O29" s="266">
        <f>'Politika 2'!K12</f>
        <v>0</v>
      </c>
      <c r="P29" s="231">
        <f t="shared" si="23"/>
        <v>2209636.3636363638</v>
      </c>
      <c r="Q29" s="232">
        <f t="shared" si="21"/>
        <v>1111636.363636364</v>
      </c>
      <c r="R29" s="232">
        <f t="shared" si="21"/>
        <v>1098000</v>
      </c>
      <c r="S29" s="233">
        <f t="shared" si="21"/>
        <v>0</v>
      </c>
    </row>
    <row r="30" spans="1:19" ht="46.9" customHeight="1" thickBot="1" x14ac:dyDescent="0.3">
      <c r="A30" s="300" t="s">
        <v>161</v>
      </c>
      <c r="B30" s="163" t="s">
        <v>160</v>
      </c>
      <c r="C30" s="293" t="s">
        <v>100</v>
      </c>
      <c r="D30" s="280">
        <v>2026</v>
      </c>
      <c r="E30" s="280">
        <v>2030</v>
      </c>
      <c r="F30" s="267"/>
      <c r="G30" s="268">
        <f>SUM(G31:G34)</f>
        <v>21910</v>
      </c>
      <c r="H30" s="268">
        <f t="shared" ref="H30:K30" si="24">SUM(H31:H34)</f>
        <v>25210</v>
      </c>
      <c r="I30" s="268">
        <f t="shared" si="24"/>
        <v>23210</v>
      </c>
      <c r="J30" s="268">
        <f t="shared" si="24"/>
        <v>23210</v>
      </c>
      <c r="K30" s="268">
        <f t="shared" si="24"/>
        <v>26601</v>
      </c>
      <c r="L30" s="269">
        <f>SUM(L31:L34)</f>
        <v>120141</v>
      </c>
      <c r="M30" s="269">
        <f t="shared" ref="M30:O30" si="25">SUM(M31:M34)</f>
        <v>28401</v>
      </c>
      <c r="N30" s="269">
        <f t="shared" si="25"/>
        <v>36220</v>
      </c>
      <c r="O30" s="270">
        <f t="shared" si="25"/>
        <v>58020</v>
      </c>
      <c r="P30" s="255">
        <f>L30*1000/100</f>
        <v>1201410</v>
      </c>
      <c r="Q30" s="235">
        <f t="shared" si="21"/>
        <v>284010</v>
      </c>
      <c r="R30" s="235">
        <f t="shared" si="21"/>
        <v>362200</v>
      </c>
      <c r="S30" s="239">
        <f t="shared" si="21"/>
        <v>580200</v>
      </c>
    </row>
    <row r="31" spans="1:19" ht="46.9" customHeight="1" x14ac:dyDescent="0.25">
      <c r="A31" s="25" t="s">
        <v>166</v>
      </c>
      <c r="B31" s="19" t="s">
        <v>162</v>
      </c>
      <c r="C31" s="211" t="s">
        <v>84</v>
      </c>
      <c r="D31" s="32">
        <v>2026</v>
      </c>
      <c r="E31" s="157">
        <v>2030</v>
      </c>
      <c r="F31" s="271">
        <f>'Politika 2'!Q14</f>
        <v>0</v>
      </c>
      <c r="G31" s="272">
        <f>'Politika 2'!AA14</f>
        <v>14000</v>
      </c>
      <c r="H31" s="272">
        <f>'Politika 2'!AK14</f>
        <v>16700</v>
      </c>
      <c r="I31" s="272">
        <f>'Politika 2'!AU14</f>
        <v>16100</v>
      </c>
      <c r="J31" s="272">
        <f>'Politika 2'!BE14</f>
        <v>16100</v>
      </c>
      <c r="K31" s="272">
        <f>'Politika 2'!BO14</f>
        <v>16100</v>
      </c>
      <c r="L31" s="273">
        <f>SUM(G31:K31)</f>
        <v>79000</v>
      </c>
      <c r="M31" s="273">
        <f>'Politika 2'!I14</f>
        <v>11600</v>
      </c>
      <c r="N31" s="273">
        <f>'Politika 2'!J14</f>
        <v>33400</v>
      </c>
      <c r="O31" s="274">
        <f>'Politika 2'!K14</f>
        <v>34000</v>
      </c>
      <c r="P31" s="231">
        <f t="shared" ref="P31:P34" si="26">L31*1000/100</f>
        <v>790000</v>
      </c>
      <c r="Q31" s="232">
        <f t="shared" si="21"/>
        <v>116000</v>
      </c>
      <c r="R31" s="232">
        <f t="shared" si="21"/>
        <v>334000</v>
      </c>
      <c r="S31" s="233">
        <f t="shared" si="21"/>
        <v>340000</v>
      </c>
    </row>
    <row r="32" spans="1:19" ht="46.9" customHeight="1" x14ac:dyDescent="0.25">
      <c r="A32" s="25" t="s">
        <v>167</v>
      </c>
      <c r="B32" s="20" t="s">
        <v>163</v>
      </c>
      <c r="C32" s="18" t="s">
        <v>101</v>
      </c>
      <c r="D32" s="166">
        <v>2026</v>
      </c>
      <c r="E32" s="197">
        <v>2030</v>
      </c>
      <c r="F32" s="271">
        <f>'Politika 2'!Q15</f>
        <v>0</v>
      </c>
      <c r="G32" s="272">
        <f>'Politika 2'!AA15</f>
        <v>2000</v>
      </c>
      <c r="H32" s="272">
        <f>'Politika 2'!AK15</f>
        <v>2600</v>
      </c>
      <c r="I32" s="272">
        <f>'Politika 2'!AU15</f>
        <v>1200</v>
      </c>
      <c r="J32" s="272">
        <f>'Politika 2'!BE15</f>
        <v>1200</v>
      </c>
      <c r="K32" s="272">
        <f>'Politika 2'!BO15</f>
        <v>1200</v>
      </c>
      <c r="L32" s="273">
        <f t="shared" ref="L32:L34" si="27">SUM(G32:K32)</f>
        <v>8200</v>
      </c>
      <c r="M32" s="273">
        <f>'Politika 2'!I15</f>
        <v>2000</v>
      </c>
      <c r="N32" s="273">
        <f>'Politika 2'!J15</f>
        <v>0</v>
      </c>
      <c r="O32" s="274">
        <f>'Politika 2'!K15</f>
        <v>6200</v>
      </c>
      <c r="P32" s="231">
        <f t="shared" si="26"/>
        <v>82000</v>
      </c>
      <c r="Q32" s="232">
        <f t="shared" si="21"/>
        <v>20000</v>
      </c>
      <c r="R32" s="232">
        <f t="shared" si="21"/>
        <v>0</v>
      </c>
      <c r="S32" s="233">
        <f t="shared" si="21"/>
        <v>62000</v>
      </c>
    </row>
    <row r="33" spans="1:19" ht="46.9" customHeight="1" x14ac:dyDescent="0.25">
      <c r="A33" s="25" t="s">
        <v>168</v>
      </c>
      <c r="B33" s="21" t="s">
        <v>164</v>
      </c>
      <c r="C33" s="18"/>
      <c r="D33" s="166">
        <v>2026</v>
      </c>
      <c r="E33" s="197">
        <v>2030</v>
      </c>
      <c r="F33" s="271">
        <f>'Politika 2'!Q16</f>
        <v>0</v>
      </c>
      <c r="G33" s="272">
        <f>'Politika 2'!AA16</f>
        <v>3410</v>
      </c>
      <c r="H33" s="272">
        <f>'Politika 2'!AK16</f>
        <v>3410</v>
      </c>
      <c r="I33" s="272">
        <f>'Politika 2'!AU16</f>
        <v>3410</v>
      </c>
      <c r="J33" s="272">
        <f>'Politika 2'!BE16</f>
        <v>3410</v>
      </c>
      <c r="K33" s="272">
        <f>'Politika 2'!BO16</f>
        <v>6801</v>
      </c>
      <c r="L33" s="273">
        <f t="shared" si="27"/>
        <v>20441</v>
      </c>
      <c r="M33" s="273">
        <f>'Politika 2'!I16</f>
        <v>14801</v>
      </c>
      <c r="N33" s="273">
        <f>'Politika 2'!J16</f>
        <v>2820</v>
      </c>
      <c r="O33" s="274">
        <f>'Politika 2'!K16</f>
        <v>2820</v>
      </c>
      <c r="P33" s="231">
        <f t="shared" si="26"/>
        <v>204410</v>
      </c>
      <c r="Q33" s="232">
        <f t="shared" si="21"/>
        <v>148010</v>
      </c>
      <c r="R33" s="232">
        <f t="shared" si="21"/>
        <v>28200</v>
      </c>
      <c r="S33" s="233">
        <f t="shared" si="21"/>
        <v>28200</v>
      </c>
    </row>
    <row r="34" spans="1:19" ht="64.900000000000006" customHeight="1" thickBot="1" x14ac:dyDescent="0.3">
      <c r="A34" s="25" t="s">
        <v>169</v>
      </c>
      <c r="B34" s="164" t="s">
        <v>165</v>
      </c>
      <c r="C34" s="31"/>
      <c r="D34" s="32">
        <v>2025</v>
      </c>
      <c r="E34" s="157">
        <v>2030</v>
      </c>
      <c r="F34" s="271">
        <f>'Politika 2'!Q17</f>
        <v>2500</v>
      </c>
      <c r="G34" s="272">
        <f>'Politika 2'!AA17</f>
        <v>2500</v>
      </c>
      <c r="H34" s="272">
        <f>'Politika 2'!AK17</f>
        <v>2500</v>
      </c>
      <c r="I34" s="272">
        <f>'Politika 2'!AU17</f>
        <v>2500</v>
      </c>
      <c r="J34" s="272">
        <f>'Politika 2'!BE17</f>
        <v>2500</v>
      </c>
      <c r="K34" s="272">
        <f>'Politika 2'!BO17</f>
        <v>2500</v>
      </c>
      <c r="L34" s="273">
        <f t="shared" si="27"/>
        <v>12500</v>
      </c>
      <c r="M34" s="273">
        <f>'Politika 2'!I17</f>
        <v>0</v>
      </c>
      <c r="N34" s="273">
        <f>'Politika 2'!J17</f>
        <v>0</v>
      </c>
      <c r="O34" s="274">
        <f>'Politika 2'!K17</f>
        <v>15000</v>
      </c>
      <c r="P34" s="231">
        <f t="shared" si="26"/>
        <v>125000</v>
      </c>
      <c r="Q34" s="232">
        <f t="shared" si="21"/>
        <v>0</v>
      </c>
      <c r="R34" s="232">
        <f t="shared" si="21"/>
        <v>0</v>
      </c>
      <c r="S34" s="233">
        <f t="shared" si="21"/>
        <v>150000</v>
      </c>
    </row>
    <row r="35" spans="1:19" ht="46.9" customHeight="1" x14ac:dyDescent="0.25">
      <c r="A35" s="7"/>
    </row>
    <row r="36" spans="1:19" ht="46.9" customHeight="1" x14ac:dyDescent="0.25">
      <c r="A36" s="7"/>
    </row>
    <row r="37" spans="1:19" ht="46.9" customHeight="1" x14ac:dyDescent="0.25">
      <c r="A37" s="7"/>
    </row>
    <row r="38" spans="1:19" ht="46.9" customHeight="1" x14ac:dyDescent="0.25">
      <c r="A38" s="7"/>
    </row>
    <row r="39" spans="1:19" ht="46.9" customHeight="1" x14ac:dyDescent="0.25">
      <c r="A39" s="7"/>
    </row>
    <row r="40" spans="1:19" ht="46.9" customHeight="1" x14ac:dyDescent="0.25">
      <c r="A40" s="7"/>
    </row>
    <row r="41" spans="1:19" ht="46.9" customHeight="1" x14ac:dyDescent="0.25">
      <c r="A41" s="7"/>
    </row>
    <row r="42" spans="1:19" ht="46.9" customHeight="1" x14ac:dyDescent="0.25">
      <c r="A42" s="7"/>
    </row>
    <row r="43" spans="1:19" ht="46.9" customHeight="1" x14ac:dyDescent="0.25">
      <c r="A43" s="7"/>
    </row>
    <row r="44" spans="1:19" ht="46.9" customHeight="1" x14ac:dyDescent="0.25">
      <c r="A44" s="7"/>
    </row>
    <row r="45" spans="1:19" ht="46.9" customHeight="1" x14ac:dyDescent="0.25">
      <c r="A45" s="7"/>
    </row>
    <row r="46" spans="1:19" ht="46.9" customHeight="1" x14ac:dyDescent="0.25">
      <c r="A46" s="7"/>
    </row>
    <row r="47" spans="1:19" ht="46.9" customHeight="1" x14ac:dyDescent="0.25">
      <c r="A47" s="7"/>
    </row>
    <row r="48" spans="1:19" ht="46.9" customHeight="1" x14ac:dyDescent="0.25">
      <c r="A48" s="7"/>
    </row>
    <row r="49" spans="1:1" ht="46.9" customHeight="1" x14ac:dyDescent="0.25">
      <c r="A49" s="7"/>
    </row>
    <row r="50" spans="1:1" ht="46.9" customHeight="1" x14ac:dyDescent="0.25">
      <c r="A50" s="7"/>
    </row>
    <row r="51" spans="1:1" ht="46.9" customHeight="1" x14ac:dyDescent="0.25">
      <c r="A51" s="7"/>
    </row>
    <row r="52" spans="1:1" ht="46.9" customHeight="1" x14ac:dyDescent="0.25">
      <c r="A52" s="7"/>
    </row>
    <row r="53" spans="1:1" ht="46.9" customHeight="1" x14ac:dyDescent="0.25">
      <c r="A53" s="7"/>
    </row>
    <row r="54" spans="1:1" ht="46.9" customHeight="1" x14ac:dyDescent="0.25">
      <c r="A54" s="7"/>
    </row>
    <row r="55" spans="1:1" ht="46.9" customHeight="1" x14ac:dyDescent="0.25">
      <c r="A55" s="7"/>
    </row>
    <row r="56" spans="1:1" ht="46.9" customHeight="1" x14ac:dyDescent="0.25">
      <c r="A56" s="7"/>
    </row>
    <row r="57" spans="1:1" ht="46.9" customHeight="1" x14ac:dyDescent="0.25">
      <c r="A57" s="7"/>
    </row>
    <row r="58" spans="1:1" ht="46.9" customHeight="1" x14ac:dyDescent="0.25">
      <c r="A58" s="7"/>
    </row>
    <row r="59" spans="1:1" ht="46.9" customHeight="1" x14ac:dyDescent="0.25">
      <c r="A59" s="7"/>
    </row>
    <row r="60" spans="1:1" ht="46.9" customHeight="1" x14ac:dyDescent="0.25">
      <c r="A60" s="7"/>
    </row>
    <row r="61" spans="1:1" ht="46.9" customHeight="1" x14ac:dyDescent="0.25">
      <c r="A61" s="7"/>
    </row>
    <row r="62" spans="1:1" ht="46.9" customHeight="1" x14ac:dyDescent="0.25">
      <c r="A62" s="7"/>
    </row>
    <row r="63" spans="1:1" ht="46.9" customHeight="1" x14ac:dyDescent="0.25">
      <c r="A63" s="7"/>
    </row>
    <row r="64" spans="1:1" ht="46.9" customHeight="1" x14ac:dyDescent="0.25">
      <c r="A64" s="7"/>
    </row>
    <row r="65" ht="46.9" customHeight="1" x14ac:dyDescent="0.25"/>
    <row r="66" ht="46.9" customHeight="1" x14ac:dyDescent="0.25"/>
    <row r="67" ht="46.9" customHeight="1" x14ac:dyDescent="0.25"/>
    <row r="68" ht="46.9" customHeight="1" x14ac:dyDescent="0.25"/>
    <row r="69" ht="46.9" customHeight="1" x14ac:dyDescent="0.25"/>
  </sheetData>
  <mergeCells count="16">
    <mergeCell ref="O4:O5"/>
    <mergeCell ref="A3:S3"/>
    <mergeCell ref="A2:S2"/>
    <mergeCell ref="A25:B25"/>
    <mergeCell ref="P4:P5"/>
    <mergeCell ref="Q4:R4"/>
    <mergeCell ref="S4:S5"/>
    <mergeCell ref="A7:B7"/>
    <mergeCell ref="D4:E4"/>
    <mergeCell ref="L4:L5"/>
    <mergeCell ref="A6:B6"/>
    <mergeCell ref="A4:A5"/>
    <mergeCell ref="B4:B5"/>
    <mergeCell ref="C4:C5"/>
    <mergeCell ref="F4:K4"/>
    <mergeCell ref="M4:N4"/>
  </mergeCells>
  <pageMargins left="0.7" right="0.7" top="0.75" bottom="0.75" header="0.3" footer="0.3"/>
  <pageSetup orientation="portrait" horizontalDpi="1200" verticalDpi="1200" r:id="rId1"/>
  <ignoredErrors>
    <ignoredError sqref="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68"/>
  <sheetViews>
    <sheetView topLeftCell="B1" zoomScale="44" zoomScaleNormal="44" workbookViewId="0">
      <pane ySplit="8" topLeftCell="A9" activePane="bottomLeft" state="frozen"/>
      <selection pane="bottomLeft" activeCell="G22" sqref="G22"/>
    </sheetView>
  </sheetViews>
  <sheetFormatPr defaultColWidth="14.42578125" defaultRowHeight="15" customHeight="1" outlineLevelCol="2" x14ac:dyDescent="0.25"/>
  <cols>
    <col min="1" max="1" width="11.85546875" style="9" customWidth="1"/>
    <col min="2" max="2" width="72.5703125" style="9" customWidth="1"/>
    <col min="3" max="3" width="89.28515625" style="9" customWidth="1"/>
    <col min="4" max="4" width="49.42578125" style="9" customWidth="1"/>
    <col min="5" max="5" width="34.28515625" style="9" customWidth="1"/>
    <col min="6" max="6" width="16.140625" style="9" customWidth="1"/>
    <col min="7" max="7" width="21" style="9" customWidth="1"/>
    <col min="8" max="8" width="20.7109375" style="9" customWidth="1"/>
    <col min="9" max="9" width="23.28515625" style="9" customWidth="1"/>
    <col min="10" max="10" width="13.7109375" style="9" customWidth="1"/>
    <col min="11" max="11" width="20.28515625" style="9" customWidth="1"/>
    <col min="12" max="12" width="14.42578125" style="9"/>
    <col min="13" max="13" width="14.28515625" style="9" customWidth="1" outlineLevel="2"/>
    <col min="14" max="14" width="13.42578125" style="9" customWidth="1" outlineLevel="2"/>
    <col min="15" max="15" width="14" style="9" customWidth="1" outlineLevel="2"/>
    <col min="16" max="16" width="14.42578125" style="9" customWidth="1" outlineLevel="2"/>
    <col min="17" max="17" width="14.140625" style="9" customWidth="1" outlineLevel="1"/>
    <col min="18" max="21" width="10.28515625" style="9" customWidth="1" outlineLevel="1"/>
    <col min="22" max="22" width="6.85546875" style="9" customWidth="1"/>
    <col min="23" max="23" width="18.7109375" style="9" customWidth="1" outlineLevel="2"/>
    <col min="24" max="24" width="20.7109375" style="9" customWidth="1" outlineLevel="2"/>
    <col min="25" max="25" width="15.7109375" style="9" customWidth="1" outlineLevel="2"/>
    <col min="26" max="26" width="9" style="9" customWidth="1" outlineLevel="2"/>
    <col min="27" max="27" width="15.42578125" style="9" customWidth="1" outlineLevel="1"/>
    <col min="28" max="28" width="11.7109375" style="9" customWidth="1" outlineLevel="1"/>
    <col min="29" max="29" width="20.28515625" style="9" customWidth="1" outlineLevel="1"/>
    <col min="30" max="30" width="9" style="9" customWidth="1" outlineLevel="1"/>
    <col min="31" max="31" width="15.140625" style="9" customWidth="1" outlineLevel="1"/>
    <col min="32" max="32" width="8.85546875" style="9" customWidth="1"/>
    <col min="33" max="33" width="15.28515625" style="9" customWidth="1" outlineLevel="2"/>
    <col min="34" max="34" width="15.140625" style="9" customWidth="1" outlineLevel="2"/>
    <col min="35" max="35" width="9" style="9" customWidth="1" outlineLevel="2"/>
    <col min="36" max="36" width="16.7109375" style="9" customWidth="1" outlineLevel="2"/>
    <col min="37" max="37" width="13.7109375" style="9" customWidth="1" outlineLevel="1"/>
    <col min="38" max="38" width="11.7109375" style="9" customWidth="1" outlineLevel="1"/>
    <col min="39" max="39" width="9" style="9" customWidth="1" outlineLevel="1"/>
    <col min="40" max="40" width="13.5703125" style="9" customWidth="1" outlineLevel="1"/>
    <col min="41" max="41" width="13.7109375" style="9" customWidth="1" outlineLevel="1"/>
    <col min="42" max="42" width="8.85546875" customWidth="1"/>
    <col min="43" max="43" width="15.85546875" customWidth="1" outlineLevel="2"/>
    <col min="44" max="44" width="11.140625" customWidth="1" outlineLevel="2"/>
    <col min="45" max="45" width="15.28515625" customWidth="1" outlineLevel="2"/>
    <col min="46" max="46" width="14.42578125" customWidth="1" outlineLevel="2"/>
    <col min="47" max="47" width="19.7109375" customWidth="1" outlineLevel="1"/>
    <col min="48" max="48" width="17.85546875" customWidth="1" outlineLevel="1"/>
    <col min="49" max="50" width="9" customWidth="1" outlineLevel="1"/>
    <col min="51" max="51" width="19.140625" customWidth="1" outlineLevel="1"/>
    <col min="52" max="52" width="14.42578125" style="9"/>
    <col min="53" max="53" width="16.140625" customWidth="1" outlineLevel="1"/>
    <col min="54" max="54" width="14.7109375" customWidth="1" outlineLevel="1"/>
    <col min="55" max="55" width="10" customWidth="1" outlineLevel="1"/>
    <col min="56" max="56" width="14.7109375" customWidth="1" outlineLevel="1"/>
    <col min="57" max="57" width="15.5703125" customWidth="1"/>
    <col min="58" max="58" width="13.42578125" customWidth="1"/>
    <col min="59" max="60" width="10" customWidth="1"/>
    <col min="61" max="61" width="20.28515625" customWidth="1"/>
    <col min="62" max="62" width="14.42578125" style="9"/>
    <col min="63" max="63" width="15.28515625" customWidth="1" outlineLevel="1"/>
    <col min="64" max="64" width="13.5703125" customWidth="1" outlineLevel="1"/>
    <col min="65" max="65" width="10" customWidth="1" outlineLevel="1"/>
    <col min="66" max="66" width="13.28515625" customWidth="1" outlineLevel="1"/>
    <col min="67" max="67" width="12.5703125" customWidth="1"/>
    <col min="68" max="70" width="10" customWidth="1"/>
    <col min="71" max="71" width="18.85546875" customWidth="1"/>
    <col min="72" max="16384" width="14.42578125" style="9"/>
  </cols>
  <sheetData>
    <row r="1" spans="1:71" ht="15.75" customHeight="1" thickBot="1" x14ac:dyDescent="0.3">
      <c r="A1" s="7"/>
      <c r="B1" s="8" t="s">
        <v>0</v>
      </c>
      <c r="C1" s="8"/>
      <c r="D1" s="8"/>
    </row>
    <row r="2" spans="1:71" ht="25.15" customHeight="1" thickBot="1" x14ac:dyDescent="0.3">
      <c r="A2" s="344" t="s">
        <v>12</v>
      </c>
      <c r="B2" s="345"/>
      <c r="C2" s="345"/>
      <c r="D2" s="345"/>
      <c r="E2" s="345"/>
      <c r="F2" s="345"/>
      <c r="G2" s="345"/>
      <c r="H2" s="345"/>
      <c r="I2" s="345"/>
      <c r="J2" s="345"/>
      <c r="K2" s="346"/>
      <c r="P2" s="51"/>
    </row>
    <row r="3" spans="1:71" ht="29.25" customHeight="1" thickBot="1" x14ac:dyDescent="0.3">
      <c r="A3" s="347" t="s">
        <v>13</v>
      </c>
      <c r="B3" s="348"/>
      <c r="C3" s="348"/>
      <c r="D3" s="348"/>
      <c r="E3" s="348"/>
      <c r="F3" s="348"/>
      <c r="G3" s="348"/>
      <c r="H3" s="348"/>
      <c r="I3" s="348"/>
      <c r="J3" s="348"/>
      <c r="K3" s="349"/>
      <c r="P3" s="53"/>
      <c r="AE3" s="9">
        <f>16500/1000</f>
        <v>16.5</v>
      </c>
      <c r="AK3" s="52">
        <f>AK8+'[1]Politika 2'!AS9+'[1]Politika 3'!AS9</f>
        <v>211029058.26363638</v>
      </c>
      <c r="AT3" s="54">
        <f>AU8+'[1]Politika 2'!BE9+'[1]Politika 3'!BE9</f>
        <v>211494579.76363638</v>
      </c>
      <c r="BE3" s="54">
        <f>BE8+'[1]Politika 2'!BQ9+'[1]Politika 3'!BQ9</f>
        <v>211708315.69363639</v>
      </c>
      <c r="BO3" s="54">
        <f>BO8+'[1]Politika 2'!CC9+'[1]Politika 3'!CC9</f>
        <v>209746221.19663635</v>
      </c>
    </row>
    <row r="4" spans="1:71" ht="66" customHeight="1" thickBot="1" x14ac:dyDescent="0.3">
      <c r="A4" s="350" t="s">
        <v>19</v>
      </c>
      <c r="B4" s="348"/>
      <c r="C4" s="348"/>
      <c r="D4" s="348"/>
      <c r="E4" s="348"/>
      <c r="F4" s="348"/>
      <c r="G4" s="348"/>
      <c r="H4" s="348"/>
      <c r="I4" s="348"/>
      <c r="J4" s="348"/>
      <c r="K4" s="349"/>
      <c r="Q4" s="52"/>
      <c r="Y4" s="9">
        <f>704900</f>
        <v>704900</v>
      </c>
      <c r="Z4" s="9">
        <f>16.5*50%+16.5</f>
        <v>24.75</v>
      </c>
      <c r="AA4" s="9">
        <f>Y4*Z4</f>
        <v>17446275</v>
      </c>
      <c r="AB4" s="9">
        <v>12</v>
      </c>
      <c r="AC4" s="114">
        <f>AA4*AB4</f>
        <v>209355300</v>
      </c>
    </row>
    <row r="5" spans="1:71" ht="51" customHeight="1" thickBot="1" x14ac:dyDescent="0.3">
      <c r="A5" s="340" t="s">
        <v>70</v>
      </c>
      <c r="B5" s="341"/>
      <c r="C5" s="341"/>
      <c r="D5" s="341"/>
      <c r="E5" s="341"/>
      <c r="F5" s="341"/>
      <c r="G5" s="341"/>
      <c r="H5" s="341"/>
      <c r="I5" s="341"/>
      <c r="J5" s="341"/>
      <c r="K5" s="342"/>
      <c r="Q5" s="55"/>
    </row>
    <row r="6" spans="1:71" ht="63.75" customHeight="1" thickBot="1" x14ac:dyDescent="0.3">
      <c r="A6" s="352" t="s">
        <v>1</v>
      </c>
      <c r="B6" s="352"/>
      <c r="C6" s="343" t="s">
        <v>17</v>
      </c>
      <c r="D6" s="343" t="s">
        <v>18</v>
      </c>
      <c r="E6" s="353" t="s">
        <v>2</v>
      </c>
      <c r="F6" s="355" t="s">
        <v>15</v>
      </c>
      <c r="G6" s="356"/>
      <c r="H6" s="343" t="s">
        <v>16</v>
      </c>
      <c r="I6" s="357" t="s">
        <v>3</v>
      </c>
      <c r="J6" s="358"/>
      <c r="K6" s="359"/>
      <c r="M6" s="328" t="s">
        <v>47</v>
      </c>
      <c r="N6" s="329"/>
      <c r="O6" s="329"/>
      <c r="P6" s="329"/>
      <c r="Q6" s="329"/>
      <c r="R6" s="329"/>
      <c r="S6" s="329"/>
      <c r="T6" s="329"/>
      <c r="U6" s="330"/>
      <c r="W6" s="331" t="s">
        <v>48</v>
      </c>
      <c r="X6" s="332"/>
      <c r="Y6" s="332"/>
      <c r="Z6" s="332"/>
      <c r="AA6" s="332"/>
      <c r="AB6" s="332"/>
      <c r="AC6" s="332"/>
      <c r="AD6" s="332"/>
      <c r="AE6" s="333"/>
      <c r="AG6" s="334" t="s">
        <v>49</v>
      </c>
      <c r="AH6" s="335"/>
      <c r="AI6" s="335"/>
      <c r="AJ6" s="335"/>
      <c r="AK6" s="335"/>
      <c r="AL6" s="335"/>
      <c r="AM6" s="335"/>
      <c r="AN6" s="335"/>
      <c r="AO6" s="336"/>
      <c r="AQ6" s="337" t="s">
        <v>50</v>
      </c>
      <c r="AR6" s="338"/>
      <c r="AS6" s="338"/>
      <c r="AT6" s="338"/>
      <c r="AU6" s="338"/>
      <c r="AV6" s="338"/>
      <c r="AW6" s="338"/>
      <c r="AX6" s="338"/>
      <c r="AY6" s="339"/>
      <c r="BA6" s="325" t="s">
        <v>51</v>
      </c>
      <c r="BB6" s="326"/>
      <c r="BC6" s="326"/>
      <c r="BD6" s="326"/>
      <c r="BE6" s="326"/>
      <c r="BF6" s="326"/>
      <c r="BG6" s="326"/>
      <c r="BH6" s="326"/>
      <c r="BI6" s="327"/>
      <c r="BK6" s="325" t="s">
        <v>52</v>
      </c>
      <c r="BL6" s="326"/>
      <c r="BM6" s="326"/>
      <c r="BN6" s="326"/>
      <c r="BO6" s="326"/>
      <c r="BP6" s="326"/>
      <c r="BQ6" s="326"/>
      <c r="BR6" s="326"/>
      <c r="BS6" s="327"/>
    </row>
    <row r="7" spans="1:71" ht="141.75" customHeight="1" thickBot="1" x14ac:dyDescent="0.3">
      <c r="A7" s="321"/>
      <c r="B7" s="321"/>
      <c r="C7" s="321"/>
      <c r="D7" s="351"/>
      <c r="E7" s="354"/>
      <c r="F7" s="1" t="s">
        <v>5</v>
      </c>
      <c r="G7" s="2" t="s">
        <v>6</v>
      </c>
      <c r="H7" s="351"/>
      <c r="I7" s="3" t="s">
        <v>10</v>
      </c>
      <c r="J7" s="3" t="s">
        <v>7</v>
      </c>
      <c r="K7" s="3" t="s">
        <v>4</v>
      </c>
      <c r="M7" s="56" t="s">
        <v>37</v>
      </c>
      <c r="N7" s="56" t="s">
        <v>38</v>
      </c>
      <c r="O7" s="56" t="s">
        <v>72</v>
      </c>
      <c r="P7" s="56" t="s">
        <v>40</v>
      </c>
      <c r="Q7" s="56" t="s">
        <v>41</v>
      </c>
      <c r="R7" s="56" t="s">
        <v>42</v>
      </c>
      <c r="S7" s="56" t="s">
        <v>43</v>
      </c>
      <c r="T7" s="57" t="s">
        <v>44</v>
      </c>
      <c r="U7" s="57" t="s">
        <v>45</v>
      </c>
      <c r="W7" s="58" t="s">
        <v>37</v>
      </c>
      <c r="X7" s="59" t="s">
        <v>38</v>
      </c>
      <c r="Y7" s="59" t="s">
        <v>112</v>
      </c>
      <c r="Z7" s="59" t="s">
        <v>40</v>
      </c>
      <c r="AA7" s="59" t="s">
        <v>41</v>
      </c>
      <c r="AB7" s="59" t="s">
        <v>42</v>
      </c>
      <c r="AC7" s="59" t="s">
        <v>46</v>
      </c>
      <c r="AD7" s="59" t="s">
        <v>44</v>
      </c>
      <c r="AE7" s="59" t="s">
        <v>45</v>
      </c>
      <c r="AG7" s="60" t="s">
        <v>37</v>
      </c>
      <c r="AH7" s="60" t="s">
        <v>38</v>
      </c>
      <c r="AI7" s="60" t="s">
        <v>114</v>
      </c>
      <c r="AJ7" s="60" t="s">
        <v>40</v>
      </c>
      <c r="AK7" s="60" t="s">
        <v>41</v>
      </c>
      <c r="AL7" s="60" t="s">
        <v>42</v>
      </c>
      <c r="AM7" s="60" t="s">
        <v>43</v>
      </c>
      <c r="AN7" s="60" t="s">
        <v>44</v>
      </c>
      <c r="AO7" s="60" t="s">
        <v>45</v>
      </c>
      <c r="AQ7" s="61" t="s">
        <v>37</v>
      </c>
      <c r="AR7" s="61" t="s">
        <v>38</v>
      </c>
      <c r="AS7" s="61" t="s">
        <v>116</v>
      </c>
      <c r="AT7" s="61" t="s">
        <v>40</v>
      </c>
      <c r="AU7" s="61" t="s">
        <v>41</v>
      </c>
      <c r="AV7" s="61" t="s">
        <v>42</v>
      </c>
      <c r="AW7" s="61" t="s">
        <v>43</v>
      </c>
      <c r="AX7" s="61" t="s">
        <v>44</v>
      </c>
      <c r="AY7" s="61" t="s">
        <v>45</v>
      </c>
      <c r="BA7" s="62" t="s">
        <v>37</v>
      </c>
      <c r="BB7" s="62" t="s">
        <v>38</v>
      </c>
      <c r="BC7" s="62" t="s">
        <v>113</v>
      </c>
      <c r="BD7" s="62" t="s">
        <v>40</v>
      </c>
      <c r="BE7" s="62" t="s">
        <v>41</v>
      </c>
      <c r="BF7" s="62" t="s">
        <v>42</v>
      </c>
      <c r="BG7" s="62" t="s">
        <v>43</v>
      </c>
      <c r="BH7" s="62" t="s">
        <v>44</v>
      </c>
      <c r="BI7" s="62" t="s">
        <v>45</v>
      </c>
      <c r="BK7" s="111" t="s">
        <v>37</v>
      </c>
      <c r="BL7" s="111" t="s">
        <v>38</v>
      </c>
      <c r="BM7" s="111" t="s">
        <v>114</v>
      </c>
      <c r="BN7" s="111" t="s">
        <v>40</v>
      </c>
      <c r="BO7" s="111" t="s">
        <v>41</v>
      </c>
      <c r="BP7" s="111" t="s">
        <v>42</v>
      </c>
      <c r="BQ7" s="111" t="s">
        <v>43</v>
      </c>
      <c r="BR7" s="111" t="s">
        <v>44</v>
      </c>
      <c r="BS7" s="111" t="s">
        <v>45</v>
      </c>
    </row>
    <row r="8" spans="1:71" ht="42.6" customHeight="1" thickBot="1" x14ac:dyDescent="0.3">
      <c r="A8" s="319" t="s">
        <v>11</v>
      </c>
      <c r="B8" s="320"/>
      <c r="C8" s="17"/>
      <c r="D8" s="17"/>
      <c r="E8" s="13"/>
      <c r="F8" s="14"/>
      <c r="G8" s="15"/>
      <c r="H8" s="155">
        <f>H9+H17+H22</f>
        <v>1054718639.5061682</v>
      </c>
      <c r="I8" s="155">
        <f>I9+I17+I22</f>
        <v>1053769325.8431681</v>
      </c>
      <c r="J8" s="155">
        <f>J9+J17+J22</f>
        <v>83097.8315</v>
      </c>
      <c r="K8" s="155">
        <f>K9+K17+K22</f>
        <v>866215.83149999997</v>
      </c>
      <c r="M8" s="63">
        <f>M9+M13+M16+M19+M22</f>
        <v>12236.363636363636</v>
      </c>
      <c r="N8" s="64">
        <f t="shared" ref="N8:U8" si="0">N9+N13+N16+N19+N22</f>
        <v>73300</v>
      </c>
      <c r="O8" s="64">
        <f t="shared" si="0"/>
        <v>3250</v>
      </c>
      <c r="P8" s="64">
        <f t="shared" si="0"/>
        <v>10560</v>
      </c>
      <c r="Q8" s="64">
        <f t="shared" si="0"/>
        <v>99346.363636363632</v>
      </c>
      <c r="R8" s="64">
        <f t="shared" si="0"/>
        <v>96096.363636363632</v>
      </c>
      <c r="S8" s="64">
        <f t="shared" si="0"/>
        <v>0</v>
      </c>
      <c r="T8" s="64">
        <f t="shared" si="0"/>
        <v>2000</v>
      </c>
      <c r="U8" s="64">
        <f t="shared" si="0"/>
        <v>1250</v>
      </c>
      <c r="W8" s="65">
        <f>W9+W13+W16+W19+W22</f>
        <v>12236.363636363636</v>
      </c>
      <c r="X8" s="65">
        <f t="shared" ref="X8:AE8" si="1">X9+X13+X16+X19+X22</f>
        <v>209458600</v>
      </c>
      <c r="Y8" s="65">
        <f t="shared" si="1"/>
        <v>23380</v>
      </c>
      <c r="Z8" s="65">
        <f t="shared" si="1"/>
        <v>0</v>
      </c>
      <c r="AA8" s="65">
        <f t="shared" si="1"/>
        <v>209494216.36363637</v>
      </c>
      <c r="AB8" s="65">
        <f t="shared" si="1"/>
        <v>209470336.36363637</v>
      </c>
      <c r="AC8" s="65">
        <f t="shared" si="1"/>
        <v>0</v>
      </c>
      <c r="AD8" s="65">
        <f t="shared" si="1"/>
        <v>12565</v>
      </c>
      <c r="AE8" s="65">
        <f t="shared" si="1"/>
        <v>11315</v>
      </c>
      <c r="AF8" s="66"/>
      <c r="AG8" s="67">
        <f>AG9+AG13+AG16+AG19+AG22</f>
        <v>8836.363636363636</v>
      </c>
      <c r="AH8" s="67">
        <f t="shared" ref="AH8:AO8" si="2">AH9+AH13+AH16+AH19+AH22</f>
        <v>209513400</v>
      </c>
      <c r="AI8" s="67">
        <f t="shared" si="2"/>
        <v>5250</v>
      </c>
      <c r="AJ8" s="67">
        <f>AJ9+AJ17+AJ22</f>
        <v>152562.5</v>
      </c>
      <c r="AK8" s="67">
        <f>AK9+AK13+AK16+AJ19+AK22</f>
        <v>209496898.86363637</v>
      </c>
      <c r="AL8" s="67">
        <f t="shared" si="2"/>
        <v>209522236.36363637</v>
      </c>
      <c r="AM8" s="67">
        <f t="shared" si="2"/>
        <v>0</v>
      </c>
      <c r="AN8" s="67">
        <f t="shared" si="2"/>
        <v>2000</v>
      </c>
      <c r="AO8" s="67">
        <f t="shared" si="2"/>
        <v>139812.5</v>
      </c>
      <c r="AQ8" s="67">
        <f>AQ9+AQ13+AQ16+AQ19+AQ22</f>
        <v>8236.363636363636</v>
      </c>
      <c r="AR8" s="67">
        <f t="shared" ref="AR8:AY8" si="3">AR9+AR13+AR16+AR19+AR22</f>
        <v>209568700</v>
      </c>
      <c r="AS8" s="67">
        <f t="shared" si="3"/>
        <v>5250</v>
      </c>
      <c r="AT8" s="67">
        <f t="shared" si="3"/>
        <v>160919.79999999999</v>
      </c>
      <c r="AU8" s="67">
        <f>AU9+AU13+AU16+AU19+AU22</f>
        <v>209743106.16363636</v>
      </c>
      <c r="AV8" s="67">
        <f>AV9+AV13+AV16+AV19+AV22</f>
        <v>209576936.36363637</v>
      </c>
      <c r="AW8" s="67">
        <f t="shared" si="3"/>
        <v>0</v>
      </c>
      <c r="AX8" s="67">
        <f t="shared" si="3"/>
        <v>14178.65</v>
      </c>
      <c r="AY8" s="67">
        <f t="shared" si="3"/>
        <v>151991.15</v>
      </c>
      <c r="BA8" s="68">
        <f>BA9+BA13+BA16+BA19+BA22</f>
        <v>8236.363636363636</v>
      </c>
      <c r="BB8" s="69">
        <f t="shared" ref="BB8:BI8" si="4">BB9+BB13+BB16+BB19+BB22</f>
        <v>209568700</v>
      </c>
      <c r="BC8" s="69">
        <f t="shared" si="4"/>
        <v>3250</v>
      </c>
      <c r="BD8" s="69">
        <f t="shared" si="4"/>
        <v>163355.53</v>
      </c>
      <c r="BE8" s="69">
        <f t="shared" si="4"/>
        <v>209743541.89363638</v>
      </c>
      <c r="BF8" s="69">
        <f t="shared" si="4"/>
        <v>209576936.36363637</v>
      </c>
      <c r="BG8" s="69">
        <f t="shared" si="4"/>
        <v>0</v>
      </c>
      <c r="BH8" s="69">
        <f t="shared" si="4"/>
        <v>15396.514999999999</v>
      </c>
      <c r="BI8" s="69">
        <f t="shared" si="4"/>
        <v>151209.01500000001</v>
      </c>
      <c r="BK8" s="68">
        <f>BK9+BK13+BK16+BK19+BK22</f>
        <v>8236.363636363636</v>
      </c>
      <c r="BL8" s="69">
        <f t="shared" ref="BL8:BS8" si="5">BL9+BL13+BL16+BL19+BL22</f>
        <v>209568700</v>
      </c>
      <c r="BM8" s="69">
        <f t="shared" si="5"/>
        <v>3250</v>
      </c>
      <c r="BN8" s="69">
        <f t="shared" si="5"/>
        <v>166034.83299999998</v>
      </c>
      <c r="BO8" s="69">
        <f t="shared" si="5"/>
        <v>209746221.19663635</v>
      </c>
      <c r="BP8" s="69">
        <f t="shared" si="5"/>
        <v>261086.36363636365</v>
      </c>
      <c r="BQ8" s="69">
        <f t="shared" si="5"/>
        <v>0</v>
      </c>
      <c r="BR8" s="69">
        <f t="shared" si="5"/>
        <v>16736.166499999999</v>
      </c>
      <c r="BS8" s="69">
        <f t="shared" si="5"/>
        <v>152548.66649999999</v>
      </c>
    </row>
    <row r="9" spans="1:71" ht="102.6" customHeight="1" thickBot="1" x14ac:dyDescent="0.3">
      <c r="A9" s="10" t="s">
        <v>127</v>
      </c>
      <c r="B9" s="38" t="s">
        <v>20</v>
      </c>
      <c r="C9" s="28"/>
      <c r="D9" s="28"/>
      <c r="E9" s="11" t="s">
        <v>96</v>
      </c>
      <c r="F9" s="10">
        <v>2025</v>
      </c>
      <c r="G9" s="12">
        <v>2030</v>
      </c>
      <c r="H9" s="135">
        <f>SUM(H10:H16)</f>
        <v>1046606370</v>
      </c>
      <c r="I9" s="135">
        <f>SUM(I10:I16)</f>
        <v>1046605870</v>
      </c>
      <c r="J9" s="135">
        <f>SUM(J10:J16)</f>
        <v>500</v>
      </c>
      <c r="K9" s="135">
        <f>SUM(K10:K16)</f>
        <v>0</v>
      </c>
      <c r="M9" s="123">
        <f>SUM(M10:M16)</f>
        <v>2500</v>
      </c>
      <c r="N9" s="124">
        <f t="shared" ref="N9:U9" si="6">SUM(N10:N16)</f>
        <v>18000</v>
      </c>
      <c r="O9" s="124">
        <f t="shared" si="6"/>
        <v>0</v>
      </c>
      <c r="P9" s="124">
        <f t="shared" si="6"/>
        <v>3520</v>
      </c>
      <c r="Q9" s="124">
        <f t="shared" si="6"/>
        <v>24020</v>
      </c>
      <c r="R9" s="124">
        <f t="shared" si="6"/>
        <v>24020</v>
      </c>
      <c r="S9" s="124">
        <f t="shared" si="6"/>
        <v>0</v>
      </c>
      <c r="T9" s="125">
        <f t="shared" si="6"/>
        <v>0</v>
      </c>
      <c r="U9" s="126">
        <f t="shared" si="6"/>
        <v>0</v>
      </c>
      <c r="W9" s="123">
        <f>SUM(W10:W16)</f>
        <v>2000</v>
      </c>
      <c r="X9" s="124">
        <f t="shared" ref="X9:AE9" si="7">SUM(X10:X16)</f>
        <v>209316350</v>
      </c>
      <c r="Y9" s="124">
        <f t="shared" si="7"/>
        <v>0</v>
      </c>
      <c r="Z9" s="124">
        <f t="shared" si="7"/>
        <v>0</v>
      </c>
      <c r="AA9" s="124">
        <f t="shared" si="7"/>
        <v>209318350</v>
      </c>
      <c r="AB9" s="124">
        <f t="shared" si="7"/>
        <v>209317850</v>
      </c>
      <c r="AC9" s="124">
        <f t="shared" si="7"/>
        <v>0</v>
      </c>
      <c r="AD9" s="125">
        <f t="shared" si="7"/>
        <v>500</v>
      </c>
      <c r="AE9" s="126">
        <f t="shared" si="7"/>
        <v>0</v>
      </c>
      <c r="AF9" s="66"/>
      <c r="AG9" s="123">
        <f t="shared" ref="AG9:AN9" si="8">SUM(AG10:AG16)</f>
        <v>600</v>
      </c>
      <c r="AH9" s="124">
        <f t="shared" si="8"/>
        <v>209315850</v>
      </c>
      <c r="AI9" s="124">
        <f t="shared" si="8"/>
        <v>0</v>
      </c>
      <c r="AJ9" s="124">
        <f t="shared" si="8"/>
        <v>0</v>
      </c>
      <c r="AK9" s="124">
        <f t="shared" si="8"/>
        <v>209316450</v>
      </c>
      <c r="AL9" s="124">
        <f t="shared" si="8"/>
        <v>209316450</v>
      </c>
      <c r="AM9" s="124">
        <f t="shared" si="8"/>
        <v>0</v>
      </c>
      <c r="AN9" s="125">
        <f t="shared" si="8"/>
        <v>0</v>
      </c>
      <c r="AO9" s="126"/>
      <c r="AQ9" s="123">
        <f t="shared" ref="AQ9:AW9" si="9">SUM(AQ10:AQ16)</f>
        <v>0</v>
      </c>
      <c r="AR9" s="124">
        <f t="shared" si="9"/>
        <v>209315850</v>
      </c>
      <c r="AS9" s="124">
        <f t="shared" si="9"/>
        <v>0</v>
      </c>
      <c r="AT9" s="124">
        <f t="shared" si="9"/>
        <v>0</v>
      </c>
      <c r="AU9" s="124">
        <f t="shared" si="9"/>
        <v>209315850</v>
      </c>
      <c r="AV9" s="124">
        <f t="shared" si="9"/>
        <v>209315850</v>
      </c>
      <c r="AW9" s="124">
        <f t="shared" si="9"/>
        <v>0</v>
      </c>
      <c r="AX9" s="125"/>
      <c r="AY9" s="126">
        <f>SUM(AY10:AY16)</f>
        <v>0</v>
      </c>
      <c r="BA9" s="123">
        <f t="shared" ref="BA9:BF9" si="10">SUM(BA10:BA16)</f>
        <v>0</v>
      </c>
      <c r="BB9" s="124">
        <f t="shared" si="10"/>
        <v>209315850</v>
      </c>
      <c r="BC9" s="124">
        <f t="shared" si="10"/>
        <v>0</v>
      </c>
      <c r="BD9" s="124">
        <f t="shared" si="10"/>
        <v>0</v>
      </c>
      <c r="BE9" s="124">
        <f t="shared" si="10"/>
        <v>209315850</v>
      </c>
      <c r="BF9" s="124">
        <f t="shared" si="10"/>
        <v>209315850</v>
      </c>
      <c r="BG9" s="124"/>
      <c r="BH9" s="125">
        <f>SUM(BH10:BH16)</f>
        <v>0</v>
      </c>
      <c r="BI9" s="126">
        <f>SUM(BI10:BI16)</f>
        <v>0</v>
      </c>
      <c r="BK9" s="123">
        <f>SUM(BK10:BK16)</f>
        <v>0</v>
      </c>
      <c r="BL9" s="124">
        <f>SUM(BL10:BL16)</f>
        <v>209315850</v>
      </c>
      <c r="BM9" s="124">
        <f>SUM(BM10:BM16)</f>
        <v>0</v>
      </c>
      <c r="BN9" s="124">
        <f>SUM(BN10:BN16)</f>
        <v>0</v>
      </c>
      <c r="BO9" s="124">
        <f>SUM(BO10:BO16)</f>
        <v>209315850</v>
      </c>
      <c r="BP9" s="124"/>
      <c r="BQ9" s="124">
        <f>SUM(BQ10:BQ16)</f>
        <v>0</v>
      </c>
      <c r="BR9" s="125">
        <f>SUM(BR10:BR16)</f>
        <v>0</v>
      </c>
      <c r="BS9" s="126">
        <f>SUM(BS10:BS16)</f>
        <v>0</v>
      </c>
    </row>
    <row r="10" spans="1:71" ht="263.45" customHeight="1" x14ac:dyDescent="0.25">
      <c r="A10" s="4" t="s">
        <v>22</v>
      </c>
      <c r="B10" s="302" t="s">
        <v>172</v>
      </c>
      <c r="C10" s="6" t="s">
        <v>53</v>
      </c>
      <c r="D10" s="6" t="s">
        <v>54</v>
      </c>
      <c r="E10" s="185" t="s">
        <v>14</v>
      </c>
      <c r="F10" s="166">
        <v>2026</v>
      </c>
      <c r="G10" s="5">
        <v>2030</v>
      </c>
      <c r="H10" s="134">
        <f t="shared" ref="H10:I16" si="11">Q10+AA10+AK10+AU10+BE10+BO10</f>
        <v>1046332000</v>
      </c>
      <c r="I10" s="134">
        <f t="shared" si="11"/>
        <v>1046332000</v>
      </c>
      <c r="J10" s="134">
        <f t="shared" ref="J10:J16" si="12">S10+T10+AC10+AD10+AM10+AN10+AW10+AX10+BG10+BH10+BQ10+BR10</f>
        <v>0</v>
      </c>
      <c r="K10" s="134">
        <f t="shared" ref="K10:K16" si="13">U10+AE10+AO10+AY10+BI10+BS10</f>
        <v>0</v>
      </c>
      <c r="M10" s="70">
        <f>250*4</f>
        <v>1000</v>
      </c>
      <c r="N10" s="71"/>
      <c r="O10" s="71">
        <v>0</v>
      </c>
      <c r="P10" s="71"/>
      <c r="Q10" s="71">
        <f t="shared" ref="Q10:Q16" si="14">SUM(M10:P10)</f>
        <v>1000</v>
      </c>
      <c r="R10" s="71">
        <f>M10</f>
        <v>1000</v>
      </c>
      <c r="S10" s="71"/>
      <c r="T10" s="72"/>
      <c r="U10" s="73">
        <f>Q10-R10-S10-T10</f>
        <v>0</v>
      </c>
      <c r="W10" s="74"/>
      <c r="X10" s="75">
        <f>704600*(16.5+16.5*50%)*12</f>
        <v>209266200</v>
      </c>
      <c r="Y10" s="75">
        <v>0</v>
      </c>
      <c r="Z10" s="75"/>
      <c r="AA10" s="75">
        <f>SUM(W10:Z10)</f>
        <v>209266200</v>
      </c>
      <c r="AB10" s="76">
        <f>W10+X10</f>
        <v>209266200</v>
      </c>
      <c r="AC10" s="76"/>
      <c r="AD10" s="77"/>
      <c r="AE10" s="75">
        <f>AA10-AB10-AC10-AD10</f>
        <v>0</v>
      </c>
      <c r="AG10" s="74"/>
      <c r="AH10" s="75">
        <f>704600*(16.5+16.5*50%)*12</f>
        <v>209266200</v>
      </c>
      <c r="AI10" s="75">
        <v>0</v>
      </c>
      <c r="AJ10" s="75"/>
      <c r="AK10" s="75">
        <f>SUM(AG10:AJ10)</f>
        <v>209266200</v>
      </c>
      <c r="AL10" s="76">
        <f>AG10+AH10</f>
        <v>209266200</v>
      </c>
      <c r="AM10" s="76"/>
      <c r="AN10" s="77"/>
      <c r="AO10" s="75">
        <f>AK10-AL10-AM10-AN10</f>
        <v>0</v>
      </c>
      <c r="AQ10" s="74"/>
      <c r="AR10" s="75">
        <f>704600*(16.5+16.5*50%)*12</f>
        <v>209266200</v>
      </c>
      <c r="AS10" s="75">
        <v>0</v>
      </c>
      <c r="AT10" s="75"/>
      <c r="AU10" s="75">
        <f>SUM(AQ10:AT10)</f>
        <v>209266200</v>
      </c>
      <c r="AV10" s="76">
        <f>AQ10+AR10</f>
        <v>209266200</v>
      </c>
      <c r="AW10" s="76"/>
      <c r="AX10" s="77"/>
      <c r="AY10" s="75">
        <f>AU10-AV10-AW10-AX10</f>
        <v>0</v>
      </c>
      <c r="BA10" s="74"/>
      <c r="BB10" s="75">
        <f>704600*(16.5+16.5*50%)*12</f>
        <v>209266200</v>
      </c>
      <c r="BC10" s="75">
        <v>0</v>
      </c>
      <c r="BD10" s="75"/>
      <c r="BE10" s="75">
        <f>SUM(BA10:BD10)</f>
        <v>209266200</v>
      </c>
      <c r="BF10" s="76">
        <f>BA10+BB10</f>
        <v>209266200</v>
      </c>
      <c r="BG10" s="76"/>
      <c r="BH10" s="77"/>
      <c r="BI10" s="75">
        <f>BE10-BF10-BG10-BH10</f>
        <v>0</v>
      </c>
      <c r="BK10" s="74"/>
      <c r="BL10" s="75">
        <f>704600*(16.5+16.5*50%)*12</f>
        <v>209266200</v>
      </c>
      <c r="BM10" s="75">
        <v>0</v>
      </c>
      <c r="BN10" s="75"/>
      <c r="BO10" s="75">
        <f>SUM(BK10:BN10)</f>
        <v>209266200</v>
      </c>
      <c r="BP10" s="76">
        <f>BK10+BL10</f>
        <v>209266200</v>
      </c>
      <c r="BQ10" s="76"/>
      <c r="BR10" s="77"/>
      <c r="BS10" s="75">
        <f>BO10-BP10-BQ10-BR10</f>
        <v>0</v>
      </c>
    </row>
    <row r="11" spans="1:71" ht="145.9" customHeight="1" x14ac:dyDescent="0.25">
      <c r="A11" s="4" t="s">
        <v>23</v>
      </c>
      <c r="B11" s="112" t="s">
        <v>128</v>
      </c>
      <c r="C11" s="16" t="s">
        <v>110</v>
      </c>
      <c r="D11" s="16" t="s">
        <v>55</v>
      </c>
      <c r="E11" s="186" t="s">
        <v>21</v>
      </c>
      <c r="F11" s="166">
        <v>2025</v>
      </c>
      <c r="G11" s="5">
        <v>2030</v>
      </c>
      <c r="H11" s="134">
        <f t="shared" si="11"/>
        <v>108000</v>
      </c>
      <c r="I11" s="134">
        <f t="shared" si="11"/>
        <v>108000</v>
      </c>
      <c r="J11" s="134">
        <f t="shared" si="12"/>
        <v>0</v>
      </c>
      <c r="K11" s="134">
        <f t="shared" si="13"/>
        <v>0</v>
      </c>
      <c r="M11" s="74"/>
      <c r="N11" s="113">
        <f>5000*12*300/1000</f>
        <v>18000</v>
      </c>
      <c r="O11" s="79"/>
      <c r="P11" s="77"/>
      <c r="Q11" s="71">
        <f t="shared" si="14"/>
        <v>18000</v>
      </c>
      <c r="R11" s="77">
        <f>Q11</f>
        <v>18000</v>
      </c>
      <c r="S11" s="77"/>
      <c r="T11" s="80"/>
      <c r="U11" s="73">
        <f>Q11-R11-S11-T11</f>
        <v>0</v>
      </c>
      <c r="W11" s="74"/>
      <c r="X11" s="113">
        <f>5000*12*300/1000</f>
        <v>18000</v>
      </c>
      <c r="Y11" s="79"/>
      <c r="Z11" s="77"/>
      <c r="AA11" s="71">
        <f>SUM(W11:Z11)</f>
        <v>18000</v>
      </c>
      <c r="AB11" s="76">
        <f t="shared" ref="AB11:AB16" si="15">W11+X11</f>
        <v>18000</v>
      </c>
      <c r="AC11" s="80"/>
      <c r="AD11" s="77"/>
      <c r="AE11" s="75">
        <f>AA11-AB11-AC11-AD11</f>
        <v>0</v>
      </c>
      <c r="AG11" s="74"/>
      <c r="AH11" s="113">
        <f>5000*12*300/1000</f>
        <v>18000</v>
      </c>
      <c r="AI11" s="79"/>
      <c r="AJ11" s="77"/>
      <c r="AK11" s="71">
        <f>SUM(AG11:AJ11)</f>
        <v>18000</v>
      </c>
      <c r="AL11" s="77">
        <f>AK11</f>
        <v>18000</v>
      </c>
      <c r="AM11" s="77"/>
      <c r="AN11" s="80"/>
      <c r="AO11" s="78">
        <f>AK11-AL11-AM11-AN11</f>
        <v>0</v>
      </c>
      <c r="AQ11" s="74"/>
      <c r="AR11" s="113">
        <f>5000*12*300/1000</f>
        <v>18000</v>
      </c>
      <c r="AS11" s="79"/>
      <c r="AT11" s="77"/>
      <c r="AU11" s="71">
        <f t="shared" ref="AU11:AU16" si="16">SUM(AQ11:AT11)</f>
        <v>18000</v>
      </c>
      <c r="AV11" s="77">
        <f t="shared" ref="AV11:AV15" si="17">AU11</f>
        <v>18000</v>
      </c>
      <c r="AW11" s="77"/>
      <c r="AX11" s="80"/>
      <c r="AY11" s="78">
        <f t="shared" ref="AY11:AY16" si="18">AU11-AV11-AW11-AX11</f>
        <v>0</v>
      </c>
      <c r="BA11" s="74"/>
      <c r="BB11" s="113">
        <f>5000*12*300/1000</f>
        <v>18000</v>
      </c>
      <c r="BC11" s="79"/>
      <c r="BD11" s="77"/>
      <c r="BE11" s="71">
        <f t="shared" ref="BE11:BE16" si="19">SUM(BA11:BD11)</f>
        <v>18000</v>
      </c>
      <c r="BF11" s="77">
        <f t="shared" ref="BF11:BF15" si="20">BE11</f>
        <v>18000</v>
      </c>
      <c r="BG11" s="77"/>
      <c r="BH11" s="80"/>
      <c r="BI11" s="78">
        <f t="shared" ref="BI11:BI16" si="21">BE11-BF11-BG11-BH11</f>
        <v>0</v>
      </c>
      <c r="BK11" s="74"/>
      <c r="BL11" s="113">
        <f>5000*12*300/1000</f>
        <v>18000</v>
      </c>
      <c r="BM11" s="79"/>
      <c r="BN11" s="77"/>
      <c r="BO11" s="71">
        <f t="shared" ref="BO11:BO15" si="22">SUM(BK11:BN11)</f>
        <v>18000</v>
      </c>
      <c r="BP11" s="77">
        <f t="shared" ref="BP11:BP15" si="23">BO11</f>
        <v>18000</v>
      </c>
      <c r="BQ11" s="77"/>
      <c r="BR11" s="80"/>
      <c r="BS11" s="78">
        <f t="shared" ref="BS11:BS16" si="24">BO11-BP11-BQ11-BR11</f>
        <v>0</v>
      </c>
    </row>
    <row r="12" spans="1:71" ht="154.15" customHeight="1" thickBot="1" x14ac:dyDescent="0.3">
      <c r="A12" s="4" t="s">
        <v>24</v>
      </c>
      <c r="B12" s="112" t="s">
        <v>129</v>
      </c>
      <c r="C12" s="40" t="s">
        <v>25</v>
      </c>
      <c r="D12" s="16" t="s">
        <v>56</v>
      </c>
      <c r="E12" s="39" t="s">
        <v>26</v>
      </c>
      <c r="F12" s="187">
        <v>2026</v>
      </c>
      <c r="G12" s="188">
        <v>2030</v>
      </c>
      <c r="H12" s="134">
        <f t="shared" si="11"/>
        <v>0</v>
      </c>
      <c r="I12" s="134">
        <f t="shared" si="11"/>
        <v>0</v>
      </c>
      <c r="J12" s="134">
        <f t="shared" si="12"/>
        <v>0</v>
      </c>
      <c r="K12" s="134">
        <f t="shared" si="13"/>
        <v>0</v>
      </c>
      <c r="M12" s="82"/>
      <c r="N12" s="83"/>
      <c r="O12" s="84"/>
      <c r="P12" s="83"/>
      <c r="Q12" s="83">
        <f t="shared" si="14"/>
        <v>0</v>
      </c>
      <c r="R12" s="83">
        <f>Q12</f>
        <v>0</v>
      </c>
      <c r="S12" s="83"/>
      <c r="T12" s="86"/>
      <c r="U12" s="73">
        <f>Q12-R12-S12-T12</f>
        <v>0</v>
      </c>
      <c r="V12" s="87"/>
      <c r="W12" s="88"/>
      <c r="X12" s="89"/>
      <c r="Y12" s="89"/>
      <c r="Z12" s="89"/>
      <c r="AA12" s="92">
        <f>SUM(W12:Z12)</f>
        <v>0</v>
      </c>
      <c r="AB12" s="76">
        <f t="shared" si="15"/>
        <v>0</v>
      </c>
      <c r="AC12" s="83"/>
      <c r="AD12" s="86"/>
      <c r="AE12" s="86">
        <f>AA12-AB12-AC12-AD12</f>
        <v>0</v>
      </c>
      <c r="AF12" s="90"/>
      <c r="AG12" s="91"/>
      <c r="AH12" s="83"/>
      <c r="AI12" s="83"/>
      <c r="AJ12" s="83"/>
      <c r="AK12" s="92">
        <f>AG12+AH12+AI12+AJ12</f>
        <v>0</v>
      </c>
      <c r="AL12" s="83">
        <f>AG12+AH12</f>
        <v>0</v>
      </c>
      <c r="AM12" s="83"/>
      <c r="AN12" s="86"/>
      <c r="AO12" s="93">
        <f>AK12-AL12-AM12-AN12</f>
        <v>0</v>
      </c>
      <c r="AQ12" s="74"/>
      <c r="AR12" s="113">
        <v>0</v>
      </c>
      <c r="AS12" s="79"/>
      <c r="AT12" s="77"/>
      <c r="AU12" s="71">
        <f t="shared" si="16"/>
        <v>0</v>
      </c>
      <c r="AV12" s="77">
        <f t="shared" si="17"/>
        <v>0</v>
      </c>
      <c r="AW12" s="77"/>
      <c r="AX12" s="80"/>
      <c r="AY12" s="78">
        <f t="shared" si="18"/>
        <v>0</v>
      </c>
      <c r="BA12" s="74"/>
      <c r="BB12" s="113">
        <v>0</v>
      </c>
      <c r="BC12" s="79"/>
      <c r="BD12" s="77"/>
      <c r="BE12" s="71">
        <f t="shared" si="19"/>
        <v>0</v>
      </c>
      <c r="BF12" s="77">
        <f t="shared" si="20"/>
        <v>0</v>
      </c>
      <c r="BG12" s="77"/>
      <c r="BH12" s="80"/>
      <c r="BI12" s="78">
        <f t="shared" si="21"/>
        <v>0</v>
      </c>
      <c r="BK12" s="74"/>
      <c r="BL12" s="113">
        <v>0</v>
      </c>
      <c r="BM12" s="79"/>
      <c r="BN12" s="77"/>
      <c r="BO12" s="71">
        <f t="shared" si="22"/>
        <v>0</v>
      </c>
      <c r="BP12" s="77">
        <f t="shared" si="23"/>
        <v>0</v>
      </c>
      <c r="BQ12" s="77"/>
      <c r="BR12" s="80"/>
      <c r="BS12" s="78">
        <f t="shared" si="24"/>
        <v>0</v>
      </c>
    </row>
    <row r="13" spans="1:71" ht="92.45" customHeight="1" x14ac:dyDescent="0.25">
      <c r="A13" s="4" t="s">
        <v>130</v>
      </c>
      <c r="B13" s="112" t="s">
        <v>131</v>
      </c>
      <c r="C13" s="40" t="s">
        <v>27</v>
      </c>
      <c r="D13" s="16" t="s">
        <v>58</v>
      </c>
      <c r="E13" s="39" t="s">
        <v>28</v>
      </c>
      <c r="F13" s="187">
        <v>2026</v>
      </c>
      <c r="G13" s="188">
        <v>2030</v>
      </c>
      <c r="H13" s="134">
        <f t="shared" si="11"/>
        <v>1500</v>
      </c>
      <c r="I13" s="134">
        <f t="shared" si="11"/>
        <v>1500</v>
      </c>
      <c r="J13" s="134">
        <f t="shared" si="12"/>
        <v>0</v>
      </c>
      <c r="K13" s="134">
        <f t="shared" si="13"/>
        <v>0</v>
      </c>
      <c r="M13" s="81">
        <f>250*2*3</f>
        <v>1500</v>
      </c>
      <c r="N13" s="77"/>
      <c r="O13" s="77"/>
      <c r="P13" s="77"/>
      <c r="Q13" s="85">
        <f t="shared" si="14"/>
        <v>1500</v>
      </c>
      <c r="R13" s="83">
        <f>Q13</f>
        <v>1500</v>
      </c>
      <c r="S13" s="77">
        <f>S14+S15</f>
        <v>0</v>
      </c>
      <c r="T13" s="80">
        <f>T14+T15</f>
        <v>0</v>
      </c>
      <c r="U13" s="94"/>
      <c r="W13" s="81"/>
      <c r="X13" s="77"/>
      <c r="Y13" s="77"/>
      <c r="Z13" s="77"/>
      <c r="AA13" s="92"/>
      <c r="AB13" s="76">
        <f t="shared" si="15"/>
        <v>0</v>
      </c>
      <c r="AC13" s="83">
        <f>AC14+AC15</f>
        <v>0</v>
      </c>
      <c r="AD13" s="86">
        <v>0</v>
      </c>
      <c r="AE13" s="86"/>
      <c r="AG13" s="91"/>
      <c r="AH13" s="83"/>
      <c r="AI13" s="83"/>
      <c r="AJ13" s="83"/>
      <c r="AK13" s="92">
        <f>AG13+AH13</f>
        <v>0</v>
      </c>
      <c r="AL13" s="83"/>
      <c r="AM13" s="83">
        <f>AM14+AM15</f>
        <v>0</v>
      </c>
      <c r="AN13" s="86">
        <f>AN14+AN15</f>
        <v>0</v>
      </c>
      <c r="AO13" s="93"/>
      <c r="AQ13" s="74"/>
      <c r="AR13" s="113">
        <v>0</v>
      </c>
      <c r="AS13" s="79"/>
      <c r="AT13" s="77"/>
      <c r="AU13" s="71">
        <f t="shared" si="16"/>
        <v>0</v>
      </c>
      <c r="AV13" s="77">
        <f t="shared" si="17"/>
        <v>0</v>
      </c>
      <c r="AW13" s="77"/>
      <c r="AX13" s="80"/>
      <c r="AY13" s="78">
        <f t="shared" si="18"/>
        <v>0</v>
      </c>
      <c r="BA13" s="74"/>
      <c r="BB13" s="113">
        <v>0</v>
      </c>
      <c r="BC13" s="79"/>
      <c r="BD13" s="77"/>
      <c r="BE13" s="71">
        <f t="shared" si="19"/>
        <v>0</v>
      </c>
      <c r="BF13" s="77">
        <f t="shared" si="20"/>
        <v>0</v>
      </c>
      <c r="BG13" s="77"/>
      <c r="BH13" s="80"/>
      <c r="BI13" s="78">
        <f t="shared" si="21"/>
        <v>0</v>
      </c>
      <c r="BK13" s="74"/>
      <c r="BL13" s="113">
        <v>0</v>
      </c>
      <c r="BM13" s="79"/>
      <c r="BN13" s="77"/>
      <c r="BO13" s="71">
        <f t="shared" si="22"/>
        <v>0</v>
      </c>
      <c r="BP13" s="77">
        <f t="shared" si="23"/>
        <v>0</v>
      </c>
      <c r="BQ13" s="77"/>
      <c r="BR13" s="80"/>
      <c r="BS13" s="78">
        <f t="shared" si="24"/>
        <v>0</v>
      </c>
    </row>
    <row r="14" spans="1:71" ht="103.9" customHeight="1" x14ac:dyDescent="0.25">
      <c r="A14" s="4" t="s">
        <v>133</v>
      </c>
      <c r="B14" s="112" t="s">
        <v>132</v>
      </c>
      <c r="C14" s="16" t="s">
        <v>111</v>
      </c>
      <c r="D14" s="16" t="s">
        <v>57</v>
      </c>
      <c r="E14" s="39" t="s">
        <v>29</v>
      </c>
      <c r="F14" s="187">
        <v>2026</v>
      </c>
      <c r="G14" s="188">
        <v>2027</v>
      </c>
      <c r="H14" s="134">
        <f t="shared" si="11"/>
        <v>2500</v>
      </c>
      <c r="I14" s="134">
        <f t="shared" si="11"/>
        <v>2000</v>
      </c>
      <c r="J14" s="134">
        <f t="shared" si="12"/>
        <v>500</v>
      </c>
      <c r="K14" s="134">
        <f t="shared" si="13"/>
        <v>0</v>
      </c>
      <c r="M14" s="81"/>
      <c r="N14" s="77"/>
      <c r="O14" s="77"/>
      <c r="P14" s="77"/>
      <c r="Q14" s="77">
        <f t="shared" si="14"/>
        <v>0</v>
      </c>
      <c r="R14" s="77">
        <v>0</v>
      </c>
      <c r="S14" s="77">
        <v>0</v>
      </c>
      <c r="T14" s="80">
        <v>0</v>
      </c>
      <c r="U14" s="94">
        <f>Q14-R14-S14-T14</f>
        <v>0</v>
      </c>
      <c r="V14" s="87"/>
      <c r="W14" s="81">
        <f>5*200*2</f>
        <v>2000</v>
      </c>
      <c r="X14" s="77">
        <f>2*10*25</f>
        <v>500</v>
      </c>
      <c r="Y14" s="77"/>
      <c r="Z14" s="77"/>
      <c r="AA14" s="77">
        <f>W14+X14+Y14+Z14</f>
        <v>2500</v>
      </c>
      <c r="AB14" s="76">
        <f>W14</f>
        <v>2000</v>
      </c>
      <c r="AC14" s="77"/>
      <c r="AD14" s="80">
        <f>X14</f>
        <v>500</v>
      </c>
      <c r="AE14" s="94">
        <f>AA14-AB14-AC14-AD14</f>
        <v>0</v>
      </c>
      <c r="AF14" s="90"/>
      <c r="AG14" s="81"/>
      <c r="AH14" s="77"/>
      <c r="AI14" s="77"/>
      <c r="AJ14" s="77"/>
      <c r="AK14" s="92">
        <f>AG14+AH14</f>
        <v>0</v>
      </c>
      <c r="AL14" s="77">
        <v>0</v>
      </c>
      <c r="AM14" s="77"/>
      <c r="AN14" s="80"/>
      <c r="AO14" s="94">
        <f>AK14-AL14-AM14-AN14</f>
        <v>0</v>
      </c>
      <c r="AP14" s="95"/>
      <c r="AQ14" s="74"/>
      <c r="AR14" s="113">
        <v>0</v>
      </c>
      <c r="AS14" s="79"/>
      <c r="AT14" s="77"/>
      <c r="AU14" s="71">
        <f t="shared" si="16"/>
        <v>0</v>
      </c>
      <c r="AV14" s="77">
        <f t="shared" si="17"/>
        <v>0</v>
      </c>
      <c r="AW14" s="77"/>
      <c r="AX14" s="80"/>
      <c r="AY14" s="78">
        <f t="shared" si="18"/>
        <v>0</v>
      </c>
      <c r="BA14" s="74"/>
      <c r="BB14" s="113">
        <v>0</v>
      </c>
      <c r="BC14" s="79"/>
      <c r="BD14" s="77"/>
      <c r="BE14" s="71">
        <f t="shared" si="19"/>
        <v>0</v>
      </c>
      <c r="BF14" s="77">
        <f t="shared" si="20"/>
        <v>0</v>
      </c>
      <c r="BG14" s="77"/>
      <c r="BH14" s="80"/>
      <c r="BI14" s="78">
        <f t="shared" si="21"/>
        <v>0</v>
      </c>
      <c r="BK14" s="74"/>
      <c r="BL14" s="113">
        <v>0</v>
      </c>
      <c r="BM14" s="79"/>
      <c r="BN14" s="77"/>
      <c r="BO14" s="71">
        <f t="shared" si="22"/>
        <v>0</v>
      </c>
      <c r="BP14" s="77">
        <f t="shared" si="23"/>
        <v>0</v>
      </c>
      <c r="BQ14" s="77"/>
      <c r="BR14" s="80"/>
      <c r="BS14" s="78">
        <f t="shared" si="24"/>
        <v>0</v>
      </c>
    </row>
    <row r="15" spans="1:71" ht="121.9" customHeight="1" x14ac:dyDescent="0.25">
      <c r="A15" s="4" t="s">
        <v>134</v>
      </c>
      <c r="B15" s="183" t="s">
        <v>135</v>
      </c>
      <c r="C15" s="16" t="s">
        <v>31</v>
      </c>
      <c r="D15" s="16" t="s">
        <v>59</v>
      </c>
      <c r="E15" s="39" t="s">
        <v>30</v>
      </c>
      <c r="F15" s="187">
        <v>2027</v>
      </c>
      <c r="G15" s="188">
        <v>2027</v>
      </c>
      <c r="H15" s="134">
        <f t="shared" si="11"/>
        <v>600</v>
      </c>
      <c r="I15" s="134">
        <f t="shared" si="11"/>
        <v>600</v>
      </c>
      <c r="J15" s="134">
        <f t="shared" si="12"/>
        <v>0</v>
      </c>
      <c r="K15" s="134">
        <f t="shared" si="13"/>
        <v>0</v>
      </c>
      <c r="M15" s="91"/>
      <c r="N15" s="83">
        <v>0</v>
      </c>
      <c r="O15" s="83">
        <v>0</v>
      </c>
      <c r="P15" s="83">
        <v>0</v>
      </c>
      <c r="Q15" s="83">
        <f t="shared" si="14"/>
        <v>0</v>
      </c>
      <c r="R15" s="83">
        <f>SUM(N15:Q15)</f>
        <v>0</v>
      </c>
      <c r="S15" s="83">
        <f>SUM(O15:R15)</f>
        <v>0</v>
      </c>
      <c r="T15" s="83">
        <f>SUM(P15:S15)</f>
        <v>0</v>
      </c>
      <c r="U15" s="94">
        <f>Q15-R15-S15-T15</f>
        <v>0</v>
      </c>
      <c r="V15" s="87"/>
      <c r="W15" s="81"/>
      <c r="X15" s="77"/>
      <c r="Y15" s="77"/>
      <c r="Z15" s="77"/>
      <c r="AA15" s="77">
        <f>W15+X15+Y15+Z15</f>
        <v>0</v>
      </c>
      <c r="AB15" s="76">
        <f t="shared" si="15"/>
        <v>0</v>
      </c>
      <c r="AC15" s="77"/>
      <c r="AD15" s="80"/>
      <c r="AE15" s="94"/>
      <c r="AF15" s="90"/>
      <c r="AG15" s="81">
        <f>3*200*1</f>
        <v>600</v>
      </c>
      <c r="AH15" s="77"/>
      <c r="AI15" s="96"/>
      <c r="AJ15" s="77"/>
      <c r="AK15" s="92">
        <f>AG15+AH15</f>
        <v>600</v>
      </c>
      <c r="AL15" s="77">
        <f>AK15</f>
        <v>600</v>
      </c>
      <c r="AM15" s="77"/>
      <c r="AN15" s="80"/>
      <c r="AO15" s="94">
        <f>AK15-AL15-AM15-AN15</f>
        <v>0</v>
      </c>
      <c r="AP15" s="95"/>
      <c r="AQ15" s="74"/>
      <c r="AR15" s="113">
        <v>0</v>
      </c>
      <c r="AS15" s="79"/>
      <c r="AT15" s="77"/>
      <c r="AU15" s="71">
        <f t="shared" si="16"/>
        <v>0</v>
      </c>
      <c r="AV15" s="77">
        <f t="shared" si="17"/>
        <v>0</v>
      </c>
      <c r="AW15" s="77"/>
      <c r="AX15" s="80"/>
      <c r="AY15" s="78">
        <f t="shared" si="18"/>
        <v>0</v>
      </c>
      <c r="BA15" s="74"/>
      <c r="BB15" s="113">
        <v>0</v>
      </c>
      <c r="BC15" s="79"/>
      <c r="BD15" s="77"/>
      <c r="BE15" s="71">
        <f t="shared" si="19"/>
        <v>0</v>
      </c>
      <c r="BF15" s="77">
        <f t="shared" si="20"/>
        <v>0</v>
      </c>
      <c r="BG15" s="77"/>
      <c r="BH15" s="80"/>
      <c r="BI15" s="78">
        <f t="shared" si="21"/>
        <v>0</v>
      </c>
      <c r="BK15" s="74"/>
      <c r="BL15" s="113">
        <v>0</v>
      </c>
      <c r="BM15" s="79"/>
      <c r="BN15" s="77"/>
      <c r="BO15" s="71">
        <f t="shared" si="22"/>
        <v>0</v>
      </c>
      <c r="BP15" s="77">
        <f t="shared" si="23"/>
        <v>0</v>
      </c>
      <c r="BQ15" s="77"/>
      <c r="BR15" s="80"/>
      <c r="BS15" s="78">
        <f t="shared" si="24"/>
        <v>0</v>
      </c>
    </row>
    <row r="16" spans="1:71" ht="103.9" customHeight="1" thickBot="1" x14ac:dyDescent="0.3">
      <c r="A16" s="4" t="s">
        <v>137</v>
      </c>
      <c r="B16" s="182" t="s">
        <v>136</v>
      </c>
      <c r="C16" s="41" t="s">
        <v>32</v>
      </c>
      <c r="D16" s="22" t="s">
        <v>60</v>
      </c>
      <c r="E16" s="42" t="s">
        <v>33</v>
      </c>
      <c r="F16" s="187">
        <v>2026</v>
      </c>
      <c r="G16" s="188">
        <v>2030</v>
      </c>
      <c r="H16" s="134">
        <f t="shared" si="11"/>
        <v>161770</v>
      </c>
      <c r="I16" s="134">
        <f t="shared" si="11"/>
        <v>161770</v>
      </c>
      <c r="J16" s="134">
        <f t="shared" si="12"/>
        <v>0</v>
      </c>
      <c r="K16" s="134">
        <f t="shared" si="13"/>
        <v>0</v>
      </c>
      <c r="L16" s="114"/>
      <c r="M16" s="91">
        <v>0</v>
      </c>
      <c r="N16" s="83">
        <v>0</v>
      </c>
      <c r="O16" s="83"/>
      <c r="P16" s="83">
        <f>P17+P18</f>
        <v>3520</v>
      </c>
      <c r="Q16" s="83">
        <f t="shared" si="14"/>
        <v>3520</v>
      </c>
      <c r="R16" s="83">
        <f>Q16</f>
        <v>3520</v>
      </c>
      <c r="S16" s="83">
        <v>0</v>
      </c>
      <c r="T16" s="83">
        <v>0</v>
      </c>
      <c r="U16" s="83">
        <f>Q16-R16-S16-T16</f>
        <v>0</v>
      </c>
      <c r="V16" s="87"/>
      <c r="W16" s="91">
        <v>0</v>
      </c>
      <c r="X16" s="83">
        <f>1266*25</f>
        <v>31650</v>
      </c>
      <c r="Y16" s="83"/>
      <c r="Z16" s="83">
        <v>0</v>
      </c>
      <c r="AA16" s="77">
        <f>W16+X16+Y16+Z16</f>
        <v>31650</v>
      </c>
      <c r="AB16" s="76">
        <f t="shared" si="15"/>
        <v>31650</v>
      </c>
      <c r="AC16" s="83">
        <v>0</v>
      </c>
      <c r="AD16" s="83">
        <v>0</v>
      </c>
      <c r="AE16" s="83">
        <f>AA16-AB16-AC16-AD16</f>
        <v>0</v>
      </c>
      <c r="AF16" s="90"/>
      <c r="AG16" s="91">
        <v>0</v>
      </c>
      <c r="AH16" s="83">
        <f>1266*25</f>
        <v>31650</v>
      </c>
      <c r="AI16" s="83"/>
      <c r="AJ16" s="83">
        <v>0</v>
      </c>
      <c r="AK16" s="92">
        <f>AG16+AH16+AI16+AJ16</f>
        <v>31650</v>
      </c>
      <c r="AL16" s="83">
        <f>AH16</f>
        <v>31650</v>
      </c>
      <c r="AM16" s="83">
        <v>0</v>
      </c>
      <c r="AN16" s="83">
        <v>0</v>
      </c>
      <c r="AO16" s="83">
        <f>AK16-AL16-AM16-AN16</f>
        <v>0</v>
      </c>
      <c r="AP16" s="95"/>
      <c r="AQ16" s="91">
        <v>0</v>
      </c>
      <c r="AR16" s="83">
        <f>1266*25</f>
        <v>31650</v>
      </c>
      <c r="AS16" s="83"/>
      <c r="AT16" s="83">
        <v>0</v>
      </c>
      <c r="AU16" s="92">
        <f t="shared" si="16"/>
        <v>31650</v>
      </c>
      <c r="AV16" s="83">
        <f>AR16</f>
        <v>31650</v>
      </c>
      <c r="AW16" s="83">
        <v>0</v>
      </c>
      <c r="AX16" s="83">
        <v>0</v>
      </c>
      <c r="AY16" s="83">
        <f t="shared" si="18"/>
        <v>0</v>
      </c>
      <c r="BA16" s="91">
        <v>0</v>
      </c>
      <c r="BB16" s="83">
        <f>1266*25</f>
        <v>31650</v>
      </c>
      <c r="BC16" s="83"/>
      <c r="BD16" s="83">
        <v>0</v>
      </c>
      <c r="BE16" s="92">
        <f t="shared" si="19"/>
        <v>31650</v>
      </c>
      <c r="BF16" s="83">
        <f>SUM(BA16:BD16)</f>
        <v>31650</v>
      </c>
      <c r="BG16" s="83">
        <v>0</v>
      </c>
      <c r="BH16" s="83">
        <v>0</v>
      </c>
      <c r="BI16" s="83">
        <f t="shared" si="21"/>
        <v>0</v>
      </c>
      <c r="BK16" s="91">
        <v>0</v>
      </c>
      <c r="BL16" s="83">
        <f>1266*25</f>
        <v>31650</v>
      </c>
      <c r="BM16" s="83"/>
      <c r="BN16" s="83">
        <v>0</v>
      </c>
      <c r="BO16" s="77">
        <f>BK16+BL16+BM16+BN16</f>
        <v>31650</v>
      </c>
      <c r="BP16" s="83">
        <f>BL16</f>
        <v>31650</v>
      </c>
      <c r="BQ16" s="83">
        <v>0</v>
      </c>
      <c r="BR16" s="83">
        <v>0</v>
      </c>
      <c r="BS16" s="83">
        <f t="shared" si="24"/>
        <v>0</v>
      </c>
    </row>
    <row r="17" spans="1:71" ht="89.45" customHeight="1" thickBot="1" x14ac:dyDescent="0.3">
      <c r="A17" s="200" t="s">
        <v>8</v>
      </c>
      <c r="B17" s="198" t="s">
        <v>138</v>
      </c>
      <c r="C17" s="34"/>
      <c r="D17" s="34"/>
      <c r="E17" s="35" t="s">
        <v>99</v>
      </c>
      <c r="F17" s="35">
        <v>2025</v>
      </c>
      <c r="G17" s="35">
        <v>2030</v>
      </c>
      <c r="H17" s="277">
        <f>SUM(H18:H21)</f>
        <v>7905655.6613500006</v>
      </c>
      <c r="I17" s="277">
        <f>SUM(I18:I21)</f>
        <v>7114037.6613500006</v>
      </c>
      <c r="J17" s="277">
        <f>SUM(J18:J21)</f>
        <v>0</v>
      </c>
      <c r="K17" s="278">
        <f>SUM(K18:K21)</f>
        <v>791618</v>
      </c>
      <c r="M17" s="123">
        <f>SUM(M18:M21)</f>
        <v>134818</v>
      </c>
      <c r="N17" s="124">
        <f t="shared" ref="N17:U17" si="25">SUM(N18:N21)</f>
        <v>649440.30000000005</v>
      </c>
      <c r="O17" s="124">
        <f t="shared" si="25"/>
        <v>20000</v>
      </c>
      <c r="P17" s="124">
        <f t="shared" si="25"/>
        <v>3520</v>
      </c>
      <c r="Q17" s="124">
        <f t="shared" si="25"/>
        <v>807778.3</v>
      </c>
      <c r="R17" s="124">
        <f t="shared" si="25"/>
        <v>670710.30000000005</v>
      </c>
      <c r="S17" s="124">
        <f t="shared" si="25"/>
        <v>0</v>
      </c>
      <c r="T17" s="125">
        <f t="shared" si="25"/>
        <v>0</v>
      </c>
      <c r="U17" s="126">
        <f t="shared" si="25"/>
        <v>137068</v>
      </c>
      <c r="W17" s="123">
        <f t="shared" ref="W17:AE17" si="26">SUM(W18:W21)</f>
        <v>136818</v>
      </c>
      <c r="X17" s="124">
        <f t="shared" si="26"/>
        <v>815119.5</v>
      </c>
      <c r="Y17" s="124">
        <f t="shared" si="26"/>
        <v>4300</v>
      </c>
      <c r="Z17" s="124">
        <f t="shared" si="26"/>
        <v>16000</v>
      </c>
      <c r="AA17" s="124">
        <f t="shared" si="26"/>
        <v>972237.5</v>
      </c>
      <c r="AB17" s="124">
        <f t="shared" si="26"/>
        <v>951937.5</v>
      </c>
      <c r="AC17" s="124">
        <f t="shared" si="26"/>
        <v>0</v>
      </c>
      <c r="AD17" s="125">
        <f t="shared" si="26"/>
        <v>0</v>
      </c>
      <c r="AE17" s="126">
        <f t="shared" si="26"/>
        <v>20300</v>
      </c>
      <c r="AG17" s="123">
        <f t="shared" ref="AG17:AO17" si="27">SUM(AG18:AG21)</f>
        <v>134818</v>
      </c>
      <c r="AH17" s="124">
        <f t="shared" si="27"/>
        <v>993715.1</v>
      </c>
      <c r="AI17" s="124">
        <f t="shared" si="27"/>
        <v>4350</v>
      </c>
      <c r="AJ17" s="124">
        <f t="shared" si="27"/>
        <v>152562.5</v>
      </c>
      <c r="AK17" s="124">
        <f t="shared" si="27"/>
        <v>1285445.6000000001</v>
      </c>
      <c r="AL17" s="124">
        <f t="shared" si="27"/>
        <v>1130633.1000000001</v>
      </c>
      <c r="AM17" s="124">
        <f t="shared" si="27"/>
        <v>0</v>
      </c>
      <c r="AN17" s="125">
        <f t="shared" si="27"/>
        <v>0</v>
      </c>
      <c r="AO17" s="126">
        <f t="shared" si="27"/>
        <v>154812.5</v>
      </c>
      <c r="AQ17" s="123">
        <f t="shared" ref="AQ17:AY17" si="28">SUM(AQ18:AQ21)</f>
        <v>141558.9</v>
      </c>
      <c r="AR17" s="124">
        <f t="shared" si="28"/>
        <v>1173501.6099999999</v>
      </c>
      <c r="AS17" s="124">
        <f t="shared" si="28"/>
        <v>10400</v>
      </c>
      <c r="AT17" s="124">
        <f t="shared" si="28"/>
        <v>152562.5</v>
      </c>
      <c r="AU17" s="124">
        <f t="shared" si="28"/>
        <v>1478023.01</v>
      </c>
      <c r="AV17" s="124">
        <f t="shared" si="28"/>
        <v>1318210.51</v>
      </c>
      <c r="AW17" s="124">
        <f t="shared" si="28"/>
        <v>0</v>
      </c>
      <c r="AX17" s="125">
        <f t="shared" si="28"/>
        <v>0</v>
      </c>
      <c r="AY17" s="126">
        <f t="shared" si="28"/>
        <v>159812.5</v>
      </c>
      <c r="BA17" s="123">
        <f t="shared" ref="BA17:BI17" si="29">SUM(BA18:BA21)</f>
        <v>148636.845</v>
      </c>
      <c r="BB17" s="124">
        <f t="shared" si="29"/>
        <v>1299921.7709999999</v>
      </c>
      <c r="BC17" s="124">
        <f t="shared" si="29"/>
        <v>11450</v>
      </c>
      <c r="BD17" s="124">
        <f t="shared" si="29"/>
        <v>152562.5</v>
      </c>
      <c r="BE17" s="124">
        <f t="shared" si="29"/>
        <v>1612571.1159999999</v>
      </c>
      <c r="BF17" s="124">
        <f t="shared" si="29"/>
        <v>1452758.6159999999</v>
      </c>
      <c r="BG17" s="124">
        <f t="shared" si="29"/>
        <v>0</v>
      </c>
      <c r="BH17" s="125">
        <f t="shared" si="29"/>
        <v>0</v>
      </c>
      <c r="BI17" s="126">
        <f t="shared" si="29"/>
        <v>159812.5</v>
      </c>
      <c r="BK17" s="123">
        <f t="shared" ref="BK17:BS17" si="30">SUM(BK18:BK21)</f>
        <v>156068.68724999999</v>
      </c>
      <c r="BL17" s="124">
        <f t="shared" si="30"/>
        <v>1428468.9481000002</v>
      </c>
      <c r="BM17" s="124">
        <f t="shared" si="30"/>
        <v>12500</v>
      </c>
      <c r="BN17" s="124">
        <f t="shared" si="30"/>
        <v>152562.5</v>
      </c>
      <c r="BO17" s="124">
        <f t="shared" si="30"/>
        <v>1749600.1353500001</v>
      </c>
      <c r="BP17" s="124">
        <f t="shared" si="30"/>
        <v>1589787.6353500001</v>
      </c>
      <c r="BQ17" s="124">
        <f t="shared" si="30"/>
        <v>0</v>
      </c>
      <c r="BR17" s="125">
        <f t="shared" si="30"/>
        <v>0</v>
      </c>
      <c r="BS17" s="126">
        <f t="shared" si="30"/>
        <v>159812.5</v>
      </c>
    </row>
    <row r="18" spans="1:71" ht="297.60000000000002" customHeight="1" x14ac:dyDescent="0.25">
      <c r="A18" s="29" t="s">
        <v>34</v>
      </c>
      <c r="B18" s="303" t="s">
        <v>173</v>
      </c>
      <c r="C18" s="30" t="s">
        <v>61</v>
      </c>
      <c r="D18" s="30" t="s">
        <v>62</v>
      </c>
      <c r="E18" s="211" t="s">
        <v>35</v>
      </c>
      <c r="F18" s="212">
        <v>2025</v>
      </c>
      <c r="G18" s="213">
        <v>2030</v>
      </c>
      <c r="H18" s="275">
        <f t="shared" ref="H18:I21" si="31">Q18+AA18+AK18+AU18+BE18+BO18</f>
        <v>1743150</v>
      </c>
      <c r="I18" s="275">
        <f>R18+AB18+AL18+AV18+BE18+BP18</f>
        <v>1743150</v>
      </c>
      <c r="J18" s="275">
        <f>S18+T18+AC18+AD18+AM18+AN18+AW18+AX18+BG18+BH18+BQ18+BR18</f>
        <v>0</v>
      </c>
      <c r="K18" s="276">
        <f>U18+AE18+AO18+AY18+BI18+BS18</f>
        <v>0</v>
      </c>
      <c r="M18" s="115"/>
      <c r="N18" s="116"/>
      <c r="O18" s="117">
        <f>10*10*170+50*15</f>
        <v>17750</v>
      </c>
      <c r="P18" s="117"/>
      <c r="Q18" s="118">
        <f>M18+N18+O18+P18</f>
        <v>17750</v>
      </c>
      <c r="R18" s="119">
        <f>Q18</f>
        <v>17750</v>
      </c>
      <c r="S18" s="117"/>
      <c r="T18" s="120"/>
      <c r="U18" s="121">
        <f>Q18-R18-S18-T18</f>
        <v>0</v>
      </c>
      <c r="W18" s="127"/>
      <c r="X18" s="129">
        <f>10*10*170+100*15+60000*1.85</f>
        <v>129500</v>
      </c>
      <c r="Y18" s="129">
        <v>0</v>
      </c>
      <c r="Z18" s="129"/>
      <c r="AA18" s="128">
        <f>W18+X18+Y18+Z18</f>
        <v>129500</v>
      </c>
      <c r="AB18" s="129">
        <f>AA18</f>
        <v>129500</v>
      </c>
      <c r="AC18" s="129"/>
      <c r="AD18" s="130"/>
      <c r="AE18" s="131">
        <f>AA18-AB18-AC18-AD18</f>
        <v>0</v>
      </c>
      <c r="AG18" s="127"/>
      <c r="AH18" s="129">
        <f>10*10*170+150*15+120000*1.85</f>
        <v>241250</v>
      </c>
      <c r="AI18" s="129">
        <v>0</v>
      </c>
      <c r="AJ18" s="129"/>
      <c r="AK18" s="128">
        <f>AG18+AH18+AI18+AJ18</f>
        <v>241250</v>
      </c>
      <c r="AL18" s="129">
        <f>AK18</f>
        <v>241250</v>
      </c>
      <c r="AM18" s="129"/>
      <c r="AN18" s="130"/>
      <c r="AO18" s="131">
        <f>AK18-AL18-AM18-AN18</f>
        <v>0</v>
      </c>
      <c r="AQ18" s="127"/>
      <c r="AR18" s="129">
        <f>10*10*170+200*15+120000*1.85+58000*1.8</f>
        <v>346400</v>
      </c>
      <c r="AS18" s="129"/>
      <c r="AT18" s="129"/>
      <c r="AU18" s="128">
        <f>AQ18+AR18+AS18+AT18</f>
        <v>346400</v>
      </c>
      <c r="AV18" s="129">
        <f>AU18</f>
        <v>346400</v>
      </c>
      <c r="AW18" s="129"/>
      <c r="AX18" s="130"/>
      <c r="AY18" s="131">
        <f>AU18-AV18-AW18-AX18</f>
        <v>0</v>
      </c>
      <c r="BA18" s="127"/>
      <c r="BB18" s="129">
        <f>10*10*170+250*15+120000*1.85+116000*1.8</f>
        <v>451550</v>
      </c>
      <c r="BC18" s="129">
        <v>0</v>
      </c>
      <c r="BD18" s="129"/>
      <c r="BE18" s="128">
        <f>BA18+BB18+BC18+BD18</f>
        <v>451550</v>
      </c>
      <c r="BF18" s="129">
        <f>BE18</f>
        <v>451550</v>
      </c>
      <c r="BG18" s="129"/>
      <c r="BH18" s="130"/>
      <c r="BI18" s="131">
        <f>BE18-BF18-BG18-BH18</f>
        <v>0</v>
      </c>
      <c r="BK18" s="127"/>
      <c r="BL18" s="129">
        <f>10*10*170+300*15+120000*1.85+174000*1.8</f>
        <v>556700</v>
      </c>
      <c r="BM18" s="129">
        <v>0</v>
      </c>
      <c r="BN18" s="129"/>
      <c r="BO18" s="128">
        <f>BK18+BL18+BM18+BN18</f>
        <v>556700</v>
      </c>
      <c r="BP18" s="129">
        <f>BO18</f>
        <v>556700</v>
      </c>
      <c r="BQ18" s="129"/>
      <c r="BR18" s="130"/>
      <c r="BS18" s="131">
        <f>BO18-BP18-BQ18-BR18</f>
        <v>0</v>
      </c>
    </row>
    <row r="19" spans="1:71" ht="256.89999999999998" customHeight="1" x14ac:dyDescent="0.25">
      <c r="A19" s="25" t="s">
        <v>36</v>
      </c>
      <c r="B19" s="20" t="s">
        <v>139</v>
      </c>
      <c r="C19" s="16" t="s">
        <v>118</v>
      </c>
      <c r="D19" s="16" t="s">
        <v>119</v>
      </c>
      <c r="E19" s="186" t="s">
        <v>125</v>
      </c>
      <c r="F19" s="43">
        <v>2025</v>
      </c>
      <c r="G19" s="44">
        <v>2030</v>
      </c>
      <c r="H19" s="136">
        <f>Q19+AA19+AK19+AU19+BE19+BO19</f>
        <v>1554670</v>
      </c>
      <c r="I19" s="136">
        <f>R19+AB19+AL19+AV19+BF19+BP19</f>
        <v>1000920</v>
      </c>
      <c r="J19" s="136">
        <f>S19+T19+AC19+AD19+AM19+AN19+AW19+AX19+BG19+BH19+BQ19+BR19</f>
        <v>0</v>
      </c>
      <c r="K19" s="137">
        <f>U19+AE19+AO19+AY19+BI19+BS19</f>
        <v>553750</v>
      </c>
      <c r="M19" s="81"/>
      <c r="N19" s="77">
        <f>55300</f>
        <v>55300</v>
      </c>
      <c r="O19" s="77">
        <f>250*5</f>
        <v>1250</v>
      </c>
      <c r="P19" s="77">
        <v>3520</v>
      </c>
      <c r="Q19" s="118">
        <f>M19+N19+O19+P19</f>
        <v>60070</v>
      </c>
      <c r="R19" s="77">
        <f>N19+P19</f>
        <v>58820</v>
      </c>
      <c r="S19" s="77"/>
      <c r="T19" s="80"/>
      <c r="U19" s="94">
        <f>Q19-R19-S19-T19</f>
        <v>1250</v>
      </c>
      <c r="W19" s="81">
        <f>10*200</f>
        <v>2000</v>
      </c>
      <c r="X19" s="77">
        <f>N19*2</f>
        <v>110600</v>
      </c>
      <c r="Y19" s="77">
        <f>250*5</f>
        <v>1250</v>
      </c>
      <c r="Z19" s="77"/>
      <c r="AA19" s="128">
        <f>W19+X19+Y19+Z19</f>
        <v>113850</v>
      </c>
      <c r="AB19" s="119">
        <f>W19+X19</f>
        <v>112600</v>
      </c>
      <c r="AC19" s="77"/>
      <c r="AD19" s="80"/>
      <c r="AE19" s="94">
        <f>AA19-AB19-AC19-AD19</f>
        <v>1250</v>
      </c>
      <c r="AF19" s="81"/>
      <c r="AG19" s="77"/>
      <c r="AH19" s="77">
        <f>N19*3</f>
        <v>165900</v>
      </c>
      <c r="AI19" s="77">
        <f>250*5</f>
        <v>1250</v>
      </c>
      <c r="AJ19" s="128">
        <f>21850000*100/8/1000/2</f>
        <v>136562.5</v>
      </c>
      <c r="AK19" s="128">
        <f>AG19+AH19+AI19+AJ19</f>
        <v>303712.5</v>
      </c>
      <c r="AL19" s="77">
        <f>AH19</f>
        <v>165900</v>
      </c>
      <c r="AM19" s="80"/>
      <c r="AN19" s="94"/>
      <c r="AO19" s="131">
        <f>AK19-AL19-AM19-AN19</f>
        <v>137812.5</v>
      </c>
      <c r="AP19" s="77"/>
      <c r="AQ19" s="77"/>
      <c r="AR19" s="77">
        <f>N19*4</f>
        <v>221200</v>
      </c>
      <c r="AS19" s="77">
        <f>250*5</f>
        <v>1250</v>
      </c>
      <c r="AT19" s="77">
        <f>AJ19</f>
        <v>136562.5</v>
      </c>
      <c r="AU19" s="128">
        <f>AQ19+AR19+AS19+AT19</f>
        <v>359012.5</v>
      </c>
      <c r="AV19" s="80">
        <f>AR19</f>
        <v>221200</v>
      </c>
      <c r="AW19" s="94"/>
      <c r="AX19" s="81"/>
      <c r="AY19" s="131">
        <f t="shared" ref="AY19:AY20" si="32">AU19-AV19-AW19-AX19</f>
        <v>137812.5</v>
      </c>
      <c r="AZ19" s="77"/>
      <c r="BA19" s="77"/>
      <c r="BB19" s="77">
        <f>AR19</f>
        <v>221200</v>
      </c>
      <c r="BC19" s="77">
        <f>250*5</f>
        <v>1250</v>
      </c>
      <c r="BD19" s="77">
        <f>AT19</f>
        <v>136562.5</v>
      </c>
      <c r="BE19" s="128">
        <f>BA19+BB19+BC19+BD19</f>
        <v>359012.5</v>
      </c>
      <c r="BF19" s="80">
        <f>BB19</f>
        <v>221200</v>
      </c>
      <c r="BG19" s="94"/>
      <c r="BH19" s="81"/>
      <c r="BI19" s="131">
        <f t="shared" ref="BI19:BI20" si="33">BE19-BF19-BG19-BH19</f>
        <v>137812.5</v>
      </c>
      <c r="BJ19" s="77"/>
      <c r="BK19" s="77"/>
      <c r="BL19" s="77">
        <f>BB19</f>
        <v>221200</v>
      </c>
      <c r="BM19" s="77">
        <f>250*5</f>
        <v>1250</v>
      </c>
      <c r="BN19" s="77">
        <f>BD19</f>
        <v>136562.5</v>
      </c>
      <c r="BO19" s="128">
        <f>BK19+BL19+BM19+BN19</f>
        <v>359012.5</v>
      </c>
      <c r="BP19" s="80">
        <f>BL19</f>
        <v>221200</v>
      </c>
      <c r="BQ19" s="94"/>
      <c r="BR19" s="81"/>
      <c r="BS19" s="131">
        <f>BO19-BP19-BQ19-BR19</f>
        <v>137812.5</v>
      </c>
    </row>
    <row r="20" spans="1:71" ht="193.15" customHeight="1" x14ac:dyDescent="0.25">
      <c r="A20" s="25" t="s">
        <v>141</v>
      </c>
      <c r="B20" s="21" t="s">
        <v>140</v>
      </c>
      <c r="C20" s="16" t="s">
        <v>115</v>
      </c>
      <c r="D20" s="16" t="s">
        <v>117</v>
      </c>
      <c r="E20" s="6" t="s">
        <v>97</v>
      </c>
      <c r="F20" s="45">
        <v>2025</v>
      </c>
      <c r="G20" s="46">
        <v>2030</v>
      </c>
      <c r="H20" s="136">
        <f t="shared" si="31"/>
        <v>2146635.6613500002</v>
      </c>
      <c r="I20" s="136">
        <f>R20+AB20+AL20+AV20+BE20+BP20</f>
        <v>2010767.6613500002</v>
      </c>
      <c r="J20" s="136">
        <f>S20+T20+AC20+AD20+AM20+AN20+AW20+AX20+BG20+BH20+BQ20+BR20</f>
        <v>0</v>
      </c>
      <c r="K20" s="137">
        <f>U20+AE20+AO20+AY20+BI20+BS20</f>
        <v>135868</v>
      </c>
      <c r="M20" s="81">
        <v>134818</v>
      </c>
      <c r="N20" s="77">
        <f>86323*10%+86323+105985</f>
        <v>200940.3</v>
      </c>
      <c r="O20" s="77"/>
      <c r="P20" s="77"/>
      <c r="Q20" s="118">
        <f>M20+N20+O20+P20</f>
        <v>335758.3</v>
      </c>
      <c r="R20" s="77">
        <f>N20</f>
        <v>200940.3</v>
      </c>
      <c r="S20" s="77"/>
      <c r="T20" s="80"/>
      <c r="U20" s="94">
        <f>Q20-R20-S20-T20</f>
        <v>134818</v>
      </c>
      <c r="V20" s="87"/>
      <c r="W20" s="81">
        <f>M20</f>
        <v>134818</v>
      </c>
      <c r="X20" s="122">
        <f>94955*10%+94955+77369</f>
        <v>181819.5</v>
      </c>
      <c r="Y20" s="81">
        <f>70*15</f>
        <v>1050</v>
      </c>
      <c r="Z20" s="77"/>
      <c r="AA20" s="128">
        <f>W20+X20+Y20+Z20</f>
        <v>317687.5</v>
      </c>
      <c r="AB20" s="119">
        <f>W20+X20</f>
        <v>316637.5</v>
      </c>
      <c r="AC20" s="77"/>
      <c r="AD20" s="80"/>
      <c r="AE20" s="94">
        <f>AA20-AB20-AC20-AD20</f>
        <v>1050</v>
      </c>
      <c r="AF20" s="90"/>
      <c r="AG20" s="81">
        <f>W20</f>
        <v>134818</v>
      </c>
      <c r="AH20" s="122">
        <f>105451*10%+105451+77369</f>
        <v>193365.1</v>
      </c>
      <c r="AI20" s="81">
        <f>140*15</f>
        <v>2100</v>
      </c>
      <c r="AJ20" s="77"/>
      <c r="AK20" s="128">
        <f>SUM(AG20:AJ20)</f>
        <v>330283.09999999998</v>
      </c>
      <c r="AL20" s="119">
        <f>AK20</f>
        <v>330283.09999999998</v>
      </c>
      <c r="AM20" s="77"/>
      <c r="AN20" s="80"/>
      <c r="AO20" s="94">
        <f>AK20-AL20-AM20-AN20</f>
        <v>0</v>
      </c>
      <c r="AQ20" s="281">
        <f>AG20*5%+AG20</f>
        <v>141558.9</v>
      </c>
      <c r="AR20" s="122">
        <f>AH20*10%+AH20</f>
        <v>212701.61000000002</v>
      </c>
      <c r="AS20" s="81">
        <f>210*15</f>
        <v>3150</v>
      </c>
      <c r="AT20" s="77"/>
      <c r="AU20" s="128">
        <f>SUM(AQ20:AT20)</f>
        <v>357410.51</v>
      </c>
      <c r="AV20" s="119">
        <f>AU20</f>
        <v>357410.51</v>
      </c>
      <c r="AW20" s="77"/>
      <c r="AX20" s="80"/>
      <c r="AY20" s="131">
        <f t="shared" si="32"/>
        <v>0</v>
      </c>
      <c r="BA20" s="281">
        <f>AQ20*5%+AQ20</f>
        <v>148636.845</v>
      </c>
      <c r="BB20" s="122">
        <f>AR20*10%+AR20</f>
        <v>233971.77100000001</v>
      </c>
      <c r="BC20" s="81">
        <f>280*15</f>
        <v>4200</v>
      </c>
      <c r="BD20" s="77"/>
      <c r="BE20" s="128">
        <f>SUM(BA20:BD20)</f>
        <v>386808.61600000004</v>
      </c>
      <c r="BF20" s="119">
        <f>BE20</f>
        <v>386808.61600000004</v>
      </c>
      <c r="BG20" s="77"/>
      <c r="BH20" s="80"/>
      <c r="BI20" s="131">
        <f t="shared" si="33"/>
        <v>0</v>
      </c>
      <c r="BK20" s="281">
        <f>BA20*5%+BA20</f>
        <v>156068.68724999999</v>
      </c>
      <c r="BL20" s="122">
        <f>BB20*10%+BB20</f>
        <v>257368.94810000001</v>
      </c>
      <c r="BM20" s="81">
        <f>350*15</f>
        <v>5250</v>
      </c>
      <c r="BN20" s="77"/>
      <c r="BO20" s="128">
        <f>SUM(BK20:BN20)</f>
        <v>418687.63535</v>
      </c>
      <c r="BP20" s="119">
        <f>BO20</f>
        <v>418687.63535</v>
      </c>
      <c r="BQ20" s="77"/>
      <c r="BR20" s="80"/>
      <c r="BS20" s="94">
        <f>BO20-BP20-BQ20-BR20</f>
        <v>0</v>
      </c>
    </row>
    <row r="21" spans="1:71" ht="310.14999999999998" customHeight="1" thickBot="1" x14ac:dyDescent="0.3">
      <c r="A21" s="25" t="s">
        <v>142</v>
      </c>
      <c r="B21" s="282" t="s">
        <v>176</v>
      </c>
      <c r="C21" s="283" t="s">
        <v>122</v>
      </c>
      <c r="D21" s="26" t="s">
        <v>123</v>
      </c>
      <c r="E21" s="27" t="s">
        <v>98</v>
      </c>
      <c r="F21" s="49">
        <v>2025</v>
      </c>
      <c r="G21" s="50">
        <v>2030</v>
      </c>
      <c r="H21" s="136">
        <f t="shared" si="31"/>
        <v>2461200</v>
      </c>
      <c r="I21" s="136">
        <f t="shared" si="31"/>
        <v>2359200</v>
      </c>
      <c r="J21" s="136">
        <f>S21+T21+AC21+AD21+AM21+AN21+AW21+AX21+BG21+BH21+BQ21+BR21</f>
        <v>0</v>
      </c>
      <c r="K21" s="137">
        <f>U21+AE21+AO21+AY21+BI21+BS21</f>
        <v>102000</v>
      </c>
      <c r="M21" s="81"/>
      <c r="N21" s="77">
        <f>400*983</f>
        <v>393200</v>
      </c>
      <c r="O21" s="77">
        <f>1*1000</f>
        <v>1000</v>
      </c>
      <c r="P21" s="77"/>
      <c r="Q21" s="118">
        <f>M21+N21+O21+P21</f>
        <v>394200</v>
      </c>
      <c r="R21" s="77">
        <f>N21+M21</f>
        <v>393200</v>
      </c>
      <c r="S21" s="77"/>
      <c r="T21" s="80"/>
      <c r="U21" s="94">
        <f>Q21-R21-S21-T21</f>
        <v>1000</v>
      </c>
      <c r="V21" s="87"/>
      <c r="W21" s="81">
        <f>M21</f>
        <v>0</v>
      </c>
      <c r="X21" s="77">
        <f>N21</f>
        <v>393200</v>
      </c>
      <c r="Y21" s="77">
        <f>2*1000</f>
        <v>2000</v>
      </c>
      <c r="Z21" s="77">
        <f>80*200</f>
        <v>16000</v>
      </c>
      <c r="AA21" s="128">
        <f>W21+X21+Y21+Z21</f>
        <v>411200</v>
      </c>
      <c r="AB21" s="119">
        <f>X21</f>
        <v>393200</v>
      </c>
      <c r="AC21" s="77"/>
      <c r="AD21" s="80"/>
      <c r="AE21" s="94">
        <f>AA21-AB21-AD21</f>
        <v>18000</v>
      </c>
      <c r="AF21" s="90"/>
      <c r="AG21" s="81">
        <f>W21</f>
        <v>0</v>
      </c>
      <c r="AH21" s="77">
        <f>X21</f>
        <v>393200</v>
      </c>
      <c r="AI21" s="77">
        <f>1*1000</f>
        <v>1000</v>
      </c>
      <c r="AJ21" s="77">
        <f>80*200</f>
        <v>16000</v>
      </c>
      <c r="AK21" s="128">
        <f>AG21+AH21+AI21+AJ21</f>
        <v>410200</v>
      </c>
      <c r="AL21" s="119">
        <f>AH21</f>
        <v>393200</v>
      </c>
      <c r="AM21" s="77"/>
      <c r="AN21" s="80"/>
      <c r="AO21" s="94">
        <f>AK21-AL21-AN21</f>
        <v>17000</v>
      </c>
      <c r="AP21" s="99"/>
      <c r="AQ21" s="81">
        <f>AG21</f>
        <v>0</v>
      </c>
      <c r="AR21" s="77">
        <f>AH21</f>
        <v>393200</v>
      </c>
      <c r="AS21" s="77">
        <f>2*3000</f>
        <v>6000</v>
      </c>
      <c r="AT21" s="77">
        <f>80*200</f>
        <v>16000</v>
      </c>
      <c r="AU21" s="128">
        <f>AQ21+AR21+AS21+AT21</f>
        <v>415200</v>
      </c>
      <c r="AV21" s="119">
        <f>AR21</f>
        <v>393200</v>
      </c>
      <c r="AW21" s="77"/>
      <c r="AX21" s="80"/>
      <c r="AY21" s="94">
        <f>AU21-AV21-AX21</f>
        <v>22000</v>
      </c>
      <c r="BA21" s="81">
        <f>AQ21</f>
        <v>0</v>
      </c>
      <c r="BB21" s="77">
        <f>AR21</f>
        <v>393200</v>
      </c>
      <c r="BC21" s="77">
        <f>2*3000</f>
        <v>6000</v>
      </c>
      <c r="BD21" s="77">
        <f>80*200</f>
        <v>16000</v>
      </c>
      <c r="BE21" s="128">
        <f>BA21+BB21+BC21+BD21</f>
        <v>415200</v>
      </c>
      <c r="BF21" s="119">
        <f>BB21</f>
        <v>393200</v>
      </c>
      <c r="BG21" s="77"/>
      <c r="BH21" s="80"/>
      <c r="BI21" s="94">
        <f>BE21-BF21-BH21</f>
        <v>22000</v>
      </c>
      <c r="BK21" s="81">
        <f>BA21</f>
        <v>0</v>
      </c>
      <c r="BL21" s="77">
        <f>BB21</f>
        <v>393200</v>
      </c>
      <c r="BM21" s="77">
        <f>2*3000</f>
        <v>6000</v>
      </c>
      <c r="BN21" s="77">
        <f>80*200</f>
        <v>16000</v>
      </c>
      <c r="BO21" s="128">
        <f>BK21+BL21+BM21+BN21</f>
        <v>415200</v>
      </c>
      <c r="BP21" s="119">
        <f>BL21</f>
        <v>393200</v>
      </c>
      <c r="BQ21" s="77"/>
      <c r="BR21" s="80"/>
      <c r="BS21" s="94">
        <f>BO21-BP21-BR21</f>
        <v>22000</v>
      </c>
    </row>
    <row r="22" spans="1:71" ht="148.15" customHeight="1" thickBot="1" x14ac:dyDescent="0.3">
      <c r="A22" s="36" t="s">
        <v>144</v>
      </c>
      <c r="B22" s="184" t="s">
        <v>143</v>
      </c>
      <c r="C22" s="35"/>
      <c r="D22" s="34"/>
      <c r="E22" s="34" t="s">
        <v>74</v>
      </c>
      <c r="F22" s="36">
        <v>2025</v>
      </c>
      <c r="G22" s="37">
        <v>2030</v>
      </c>
      <c r="H22" s="154">
        <f>SUM(H23:H25)</f>
        <v>206613.84481818182</v>
      </c>
      <c r="I22" s="154">
        <f>SUM(I23:I25)</f>
        <v>49418.181818181809</v>
      </c>
      <c r="J22" s="154">
        <f>SUM(J23:J25)</f>
        <v>82597.8315</v>
      </c>
      <c r="K22" s="154">
        <f>SUM(K23:K25)</f>
        <v>74597.8315</v>
      </c>
      <c r="M22" s="123">
        <f>M23+M24</f>
        <v>8236.363636363636</v>
      </c>
      <c r="N22" s="123">
        <f t="shared" ref="N22:Q22" si="34">N23+N24</f>
        <v>0</v>
      </c>
      <c r="O22" s="123">
        <f t="shared" si="34"/>
        <v>2000</v>
      </c>
      <c r="P22" s="123">
        <f t="shared" si="34"/>
        <v>0</v>
      </c>
      <c r="Q22" s="123">
        <f t="shared" si="34"/>
        <v>10236.363636363636</v>
      </c>
      <c r="R22" s="123">
        <f t="shared" ref="R22" si="35">R23+R24</f>
        <v>8236.363636363636</v>
      </c>
      <c r="S22" s="123">
        <f t="shared" ref="S22" si="36">S23+S24</f>
        <v>0</v>
      </c>
      <c r="T22" s="123">
        <f t="shared" ref="T22:U22" si="37">T23+T24</f>
        <v>2000</v>
      </c>
      <c r="U22" s="123">
        <f t="shared" si="37"/>
        <v>0</v>
      </c>
      <c r="W22" s="100">
        <f>W23+W24+W25</f>
        <v>8236.363636363636</v>
      </c>
      <c r="X22" s="100">
        <f t="shared" ref="X22:AE22" si="38">X23+X24+X25</f>
        <v>0</v>
      </c>
      <c r="Y22" s="100">
        <f t="shared" si="38"/>
        <v>22130</v>
      </c>
      <c r="Z22" s="100">
        <f t="shared" si="38"/>
        <v>0</v>
      </c>
      <c r="AA22" s="100">
        <f t="shared" si="38"/>
        <v>30366.363636363636</v>
      </c>
      <c r="AB22" s="100">
        <f t="shared" si="38"/>
        <v>8236.363636363636</v>
      </c>
      <c r="AC22" s="100">
        <f t="shared" si="38"/>
        <v>0</v>
      </c>
      <c r="AD22" s="100">
        <f t="shared" si="38"/>
        <v>12065</v>
      </c>
      <c r="AE22" s="100">
        <f t="shared" si="38"/>
        <v>10065</v>
      </c>
      <c r="AG22" s="101">
        <f>AG23+AG24+AG25</f>
        <v>8236.363636363636</v>
      </c>
      <c r="AH22" s="101">
        <f t="shared" ref="AH22:AO22" si="39">AH23+AH24</f>
        <v>0</v>
      </c>
      <c r="AI22" s="101">
        <f t="shared" si="39"/>
        <v>4000</v>
      </c>
      <c r="AJ22" s="101">
        <f t="shared" si="39"/>
        <v>0</v>
      </c>
      <c r="AK22" s="101">
        <f t="shared" si="39"/>
        <v>12236.363636363636</v>
      </c>
      <c r="AL22" s="101">
        <f t="shared" si="39"/>
        <v>8236.363636363636</v>
      </c>
      <c r="AM22" s="101">
        <f t="shared" si="39"/>
        <v>0</v>
      </c>
      <c r="AN22" s="101">
        <f t="shared" si="39"/>
        <v>2000</v>
      </c>
      <c r="AO22" s="101">
        <f t="shared" si="39"/>
        <v>2000</v>
      </c>
      <c r="AP22" s="99"/>
      <c r="AQ22" s="101">
        <f>AQ23+AQ24+AQ25</f>
        <v>8236.363636363636</v>
      </c>
      <c r="AR22" s="101">
        <f t="shared" ref="AR22:AY22" si="40">AR23+AR24+AR25</f>
        <v>0</v>
      </c>
      <c r="AS22" s="101">
        <f t="shared" si="40"/>
        <v>4000</v>
      </c>
      <c r="AT22" s="101">
        <f t="shared" si="40"/>
        <v>24357.3</v>
      </c>
      <c r="AU22" s="101">
        <f t="shared" si="40"/>
        <v>36593.663636363635</v>
      </c>
      <c r="AV22" s="101">
        <f t="shared" si="40"/>
        <v>8236.363636363636</v>
      </c>
      <c r="AW22" s="101">
        <f t="shared" si="40"/>
        <v>0</v>
      </c>
      <c r="AX22" s="101">
        <f t="shared" si="40"/>
        <v>14178.65</v>
      </c>
      <c r="AY22" s="101">
        <f t="shared" si="40"/>
        <v>14178.65</v>
      </c>
      <c r="BA22" s="102">
        <f>BA23+BA24+BA25</f>
        <v>8236.363636363636</v>
      </c>
      <c r="BB22" s="102">
        <f t="shared" ref="BB22:BI22" si="41">BB23+BB24+BB25</f>
        <v>0</v>
      </c>
      <c r="BC22" s="102">
        <f t="shared" si="41"/>
        <v>2000</v>
      </c>
      <c r="BD22" s="102">
        <f t="shared" si="41"/>
        <v>26793.03</v>
      </c>
      <c r="BE22" s="102">
        <f t="shared" si="41"/>
        <v>37029.393636363631</v>
      </c>
      <c r="BF22" s="102">
        <f t="shared" si="41"/>
        <v>8236.363636363636</v>
      </c>
      <c r="BG22" s="102">
        <f t="shared" si="41"/>
        <v>0</v>
      </c>
      <c r="BH22" s="102">
        <f t="shared" si="41"/>
        <v>15396.514999999999</v>
      </c>
      <c r="BI22" s="102">
        <f t="shared" si="41"/>
        <v>13396.514999999999</v>
      </c>
      <c r="BK22" s="102">
        <f>BK23+BK24+BK25</f>
        <v>8236.363636363636</v>
      </c>
      <c r="BL22" s="102">
        <f t="shared" ref="BL22:BS22" si="42">BL23+BL24+BL25</f>
        <v>0</v>
      </c>
      <c r="BM22" s="102">
        <f t="shared" si="42"/>
        <v>2000</v>
      </c>
      <c r="BN22" s="102">
        <f t="shared" si="42"/>
        <v>29472.332999999999</v>
      </c>
      <c r="BO22" s="102">
        <f t="shared" si="42"/>
        <v>39708.696636363631</v>
      </c>
      <c r="BP22" s="102">
        <f t="shared" si="42"/>
        <v>8236.363636363636</v>
      </c>
      <c r="BQ22" s="102">
        <f t="shared" si="42"/>
        <v>0</v>
      </c>
      <c r="BR22" s="102">
        <f t="shared" si="42"/>
        <v>16736.166499999999</v>
      </c>
      <c r="BS22" s="102">
        <f t="shared" si="42"/>
        <v>14736.166499999999</v>
      </c>
    </row>
    <row r="23" spans="1:71" ht="244.15" customHeight="1" thickBot="1" x14ac:dyDescent="0.3">
      <c r="A23" s="29" t="s">
        <v>145</v>
      </c>
      <c r="B23" s="132" t="s">
        <v>146</v>
      </c>
      <c r="C23" s="30" t="s">
        <v>63</v>
      </c>
      <c r="D23" s="30" t="s">
        <v>71</v>
      </c>
      <c r="E23" s="31"/>
      <c r="F23" s="32">
        <v>2025</v>
      </c>
      <c r="G23" s="33">
        <v>2030</v>
      </c>
      <c r="H23" s="146">
        <f t="shared" ref="H23:I25" si="43">Q23+AA23+AK23+AU23+BE23+BO23</f>
        <v>61418.181818181809</v>
      </c>
      <c r="I23" s="146">
        <f t="shared" si="43"/>
        <v>49418.181818181809</v>
      </c>
      <c r="J23" s="146">
        <f>S23+T23+AC23+AD23+AM23+AN23+AW23+AX23+BG23+BH23+BQ23+BR23</f>
        <v>12000</v>
      </c>
      <c r="K23" s="147">
        <f>U23+AE23+AO23+AY23+BI23+BS23</f>
        <v>0</v>
      </c>
      <c r="M23" s="81">
        <f>10*170*1+250/22*20*5+5*90*12</f>
        <v>8236.363636363636</v>
      </c>
      <c r="N23" s="113"/>
      <c r="O23" s="113">
        <f>200*10</f>
        <v>2000</v>
      </c>
      <c r="P23" s="113"/>
      <c r="Q23" s="113">
        <f>M23+N23+O23+P23</f>
        <v>10236.363636363636</v>
      </c>
      <c r="R23" s="113">
        <f>M23+N23</f>
        <v>8236.363636363636</v>
      </c>
      <c r="S23" s="113"/>
      <c r="T23" s="144">
        <f>O23</f>
        <v>2000</v>
      </c>
      <c r="U23" s="145">
        <f>Q23-R23-S23-T23</f>
        <v>0</v>
      </c>
      <c r="W23" s="81">
        <f>10*170*1+250/22*20*5+5*90*12</f>
        <v>8236.363636363636</v>
      </c>
      <c r="X23" s="113"/>
      <c r="Y23" s="113">
        <f>200*10</f>
        <v>2000</v>
      </c>
      <c r="Z23" s="113"/>
      <c r="AA23" s="113">
        <f>W23+X23+Y23+Z23</f>
        <v>10236.363636363636</v>
      </c>
      <c r="AB23" s="113">
        <f>W23+X23</f>
        <v>8236.363636363636</v>
      </c>
      <c r="AC23" s="113"/>
      <c r="AD23" s="144">
        <f>Y23</f>
        <v>2000</v>
      </c>
      <c r="AE23" s="145">
        <f>AA23-AB23-AC23-AD23</f>
        <v>0</v>
      </c>
      <c r="AG23" s="81">
        <f>10*170*1+250/22*20*5+5*90*12</f>
        <v>8236.363636363636</v>
      </c>
      <c r="AH23" s="113"/>
      <c r="AI23" s="113">
        <f>200*10</f>
        <v>2000</v>
      </c>
      <c r="AJ23" s="113"/>
      <c r="AK23" s="113">
        <f>AG23+AH23+AI23+AJ23</f>
        <v>10236.363636363636</v>
      </c>
      <c r="AL23" s="113">
        <f>AG23+AH23</f>
        <v>8236.363636363636</v>
      </c>
      <c r="AM23" s="113"/>
      <c r="AN23" s="144">
        <f>AI23</f>
        <v>2000</v>
      </c>
      <c r="AO23" s="145">
        <f>AK23-AL23-AM23-AN23</f>
        <v>0</v>
      </c>
      <c r="AP23" s="99"/>
      <c r="AQ23" s="81">
        <f>10*170*1+250/22*20*5+5*90*12</f>
        <v>8236.363636363636</v>
      </c>
      <c r="AR23" s="113"/>
      <c r="AS23" s="113">
        <f>200*10</f>
        <v>2000</v>
      </c>
      <c r="AT23" s="113"/>
      <c r="AU23" s="113">
        <f>AQ23+AR23+AS23+AT23</f>
        <v>10236.363636363636</v>
      </c>
      <c r="AV23" s="113">
        <f>AQ23+AR23</f>
        <v>8236.363636363636</v>
      </c>
      <c r="AW23" s="113"/>
      <c r="AX23" s="144">
        <f>AS23</f>
        <v>2000</v>
      </c>
      <c r="AY23" s="145">
        <f>AU23-AV23-AW23-AX23</f>
        <v>0</v>
      </c>
      <c r="BA23" s="81">
        <f>10*170*1+250/22*20*5+5*90*12</f>
        <v>8236.363636363636</v>
      </c>
      <c r="BB23" s="113"/>
      <c r="BC23" s="113">
        <f>200*10</f>
        <v>2000</v>
      </c>
      <c r="BD23" s="113"/>
      <c r="BE23" s="113">
        <f>BA23+BB23+BC23+BD23</f>
        <v>10236.363636363636</v>
      </c>
      <c r="BF23" s="113">
        <f>BA23+BB23</f>
        <v>8236.363636363636</v>
      </c>
      <c r="BG23" s="113"/>
      <c r="BH23" s="144">
        <f>BC23</f>
        <v>2000</v>
      </c>
      <c r="BI23" s="145">
        <f>BE23-BF23-BG23-BH23</f>
        <v>0</v>
      </c>
      <c r="BK23" s="81">
        <f>10*170*1+250/22*20*5+5*90*12</f>
        <v>8236.363636363636</v>
      </c>
      <c r="BL23" s="113"/>
      <c r="BM23" s="113">
        <f>200*10</f>
        <v>2000</v>
      </c>
      <c r="BN23" s="113"/>
      <c r="BO23" s="113">
        <f>BK23+BL23+BM23+BN23</f>
        <v>10236.363636363636</v>
      </c>
      <c r="BP23" s="113">
        <f>BK23+BL23</f>
        <v>8236.363636363636</v>
      </c>
      <c r="BQ23" s="113"/>
      <c r="BR23" s="144">
        <f>BM23</f>
        <v>2000</v>
      </c>
      <c r="BS23" s="145">
        <f>BO23-BP23-BQ23-BR23</f>
        <v>0</v>
      </c>
    </row>
    <row r="24" spans="1:71" ht="102.6" customHeight="1" thickBot="1" x14ac:dyDescent="0.3">
      <c r="A24" s="25" t="s">
        <v>149</v>
      </c>
      <c r="B24" s="20" t="s">
        <v>147</v>
      </c>
      <c r="C24" s="16" t="s">
        <v>73</v>
      </c>
      <c r="D24" s="16" t="s">
        <v>75</v>
      </c>
      <c r="E24" s="148" t="s">
        <v>74</v>
      </c>
      <c r="F24" s="32">
        <v>2027</v>
      </c>
      <c r="G24" s="33">
        <v>2028</v>
      </c>
      <c r="H24" s="146">
        <f t="shared" si="43"/>
        <v>4000</v>
      </c>
      <c r="I24" s="146">
        <f t="shared" si="43"/>
        <v>0</v>
      </c>
      <c r="J24" s="146">
        <f>S24+T24+AC24+AD24+AM24+AN24+AW24+AX24+BG24+BH24+BQ24+BR24</f>
        <v>0</v>
      </c>
      <c r="K24" s="147">
        <f>U24+AE24+AO24+AY24+BI24+BS24</f>
        <v>4000</v>
      </c>
      <c r="M24" s="104"/>
      <c r="N24" s="105"/>
      <c r="O24" s="105"/>
      <c r="P24" s="106"/>
      <c r="Q24" s="113">
        <f>M24+N24+O24+P24</f>
        <v>0</v>
      </c>
      <c r="R24" s="107">
        <f>N24</f>
        <v>0</v>
      </c>
      <c r="S24" s="106"/>
      <c r="T24" s="108"/>
      <c r="U24" s="98">
        <f>Q24-R24-S24-T24</f>
        <v>0</v>
      </c>
      <c r="W24" s="109"/>
      <c r="X24" s="107">
        <f>N24</f>
        <v>0</v>
      </c>
      <c r="Y24" s="106"/>
      <c r="Z24" s="108"/>
      <c r="AA24" s="103">
        <f>W24+X24+Y24+Z24</f>
        <v>0</v>
      </c>
      <c r="AB24" s="97"/>
      <c r="AC24" s="106"/>
      <c r="AD24" s="108"/>
      <c r="AE24" s="98">
        <f>AA24-AB24-AC24-AD24</f>
        <v>0</v>
      </c>
      <c r="AG24" s="109"/>
      <c r="AH24" s="107">
        <f>X24</f>
        <v>0</v>
      </c>
      <c r="AI24" s="149">
        <v>2000</v>
      </c>
      <c r="AJ24" s="106"/>
      <c r="AK24" s="97">
        <f>AG24+AH24+AI24+AJ24</f>
        <v>2000</v>
      </c>
      <c r="AL24" s="107">
        <f>AH24</f>
        <v>0</v>
      </c>
      <c r="AM24" s="106"/>
      <c r="AN24" s="108"/>
      <c r="AO24" s="98">
        <f>AK24-AL24-AM24-AN24</f>
        <v>2000</v>
      </c>
      <c r="AP24" s="99"/>
      <c r="AQ24" s="109"/>
      <c r="AR24" s="107">
        <f>AH24</f>
        <v>0</v>
      </c>
      <c r="AS24" s="149">
        <v>2000</v>
      </c>
      <c r="AT24" s="106"/>
      <c r="AU24" s="97">
        <f>AQ24+AR24+AS24+AT24</f>
        <v>2000</v>
      </c>
      <c r="AV24" s="107">
        <f>AR24</f>
        <v>0</v>
      </c>
      <c r="AW24" s="106"/>
      <c r="AX24" s="108"/>
      <c r="AY24" s="145">
        <f>AU24-AV24-AW24-AX24</f>
        <v>2000</v>
      </c>
      <c r="AZ24" s="66"/>
      <c r="BA24" s="109"/>
      <c r="BB24" s="107">
        <f>AR24</f>
        <v>0</v>
      </c>
      <c r="BC24" s="106"/>
      <c r="BD24" s="106"/>
      <c r="BE24" s="97">
        <f>BA24+BB24+BC24+BD24</f>
        <v>0</v>
      </c>
      <c r="BF24" s="107">
        <f>BB24</f>
        <v>0</v>
      </c>
      <c r="BG24" s="106"/>
      <c r="BH24" s="108"/>
      <c r="BI24" s="98">
        <f>BE24-BF24-BG24-BH24</f>
        <v>0</v>
      </c>
      <c r="BK24" s="109"/>
      <c r="BL24" s="107">
        <f>BB24</f>
        <v>0</v>
      </c>
      <c r="BM24" s="106"/>
      <c r="BN24" s="106"/>
      <c r="BO24" s="97">
        <f>BK24+BL24+BM24+BN24</f>
        <v>0</v>
      </c>
      <c r="BP24" s="107">
        <f>BL24</f>
        <v>0</v>
      </c>
      <c r="BQ24" s="106"/>
      <c r="BR24" s="108"/>
      <c r="BS24" s="98">
        <f>BO24-BP24-BQ24-BR24</f>
        <v>0</v>
      </c>
    </row>
    <row r="25" spans="1:71" ht="273.60000000000002" customHeight="1" x14ac:dyDescent="0.25">
      <c r="A25" s="29" t="s">
        <v>150</v>
      </c>
      <c r="B25" s="21" t="s">
        <v>177</v>
      </c>
      <c r="C25" s="16" t="s">
        <v>120</v>
      </c>
      <c r="D25" s="16" t="s">
        <v>121</v>
      </c>
      <c r="E25" s="140"/>
      <c r="F25" s="5">
        <v>2025</v>
      </c>
      <c r="G25" s="5">
        <v>2030</v>
      </c>
      <c r="H25" s="146">
        <f t="shared" si="43"/>
        <v>141195.663</v>
      </c>
      <c r="I25" s="146">
        <f t="shared" si="43"/>
        <v>0</v>
      </c>
      <c r="J25" s="146">
        <f>S25+T25+AC25+AD25+AM25+AN25+AW25+AX25+BG25+BH25+BQ25+BR25</f>
        <v>70597.8315</v>
      </c>
      <c r="K25" s="147">
        <f>U25+AE25+AO25+AY25+BI25+BS25</f>
        <v>70597.8315</v>
      </c>
      <c r="M25" s="104"/>
      <c r="N25" s="105">
        <v>0</v>
      </c>
      <c r="O25" s="105">
        <f>300*61</f>
        <v>18300</v>
      </c>
      <c r="P25" s="106"/>
      <c r="Q25" s="113">
        <f>M25+N25+O25+P25</f>
        <v>18300</v>
      </c>
      <c r="R25" s="107">
        <f>N25</f>
        <v>0</v>
      </c>
      <c r="S25" s="106"/>
      <c r="T25" s="150">
        <f>O25*50%</f>
        <v>9150</v>
      </c>
      <c r="U25" s="98">
        <f>Q25-R25-S25-T25</f>
        <v>9150</v>
      </c>
      <c r="W25" s="109"/>
      <c r="X25" s="107">
        <f>N25*2</f>
        <v>0</v>
      </c>
      <c r="Y25" s="107">
        <f>O25*10%+O25</f>
        <v>20130</v>
      </c>
      <c r="Z25" s="108"/>
      <c r="AA25" s="103">
        <f>W25+X25+Y25+Z25</f>
        <v>20130</v>
      </c>
      <c r="AB25" s="97"/>
      <c r="AC25" s="106"/>
      <c r="AD25" s="150">
        <f>Y25*50%</f>
        <v>10065</v>
      </c>
      <c r="AE25" s="98">
        <f>AA25-AB25-AC25-AD25</f>
        <v>10065</v>
      </c>
      <c r="AG25" s="109"/>
      <c r="AH25" s="107">
        <f>N25*3</f>
        <v>0</v>
      </c>
      <c r="AI25" s="106"/>
      <c r="AJ25" s="107">
        <f>Y25*10%+Y25</f>
        <v>22143</v>
      </c>
      <c r="AK25" s="97">
        <f>AG25+AH25+AI25+AJ25</f>
        <v>22143</v>
      </c>
      <c r="AL25" s="107">
        <f>AH25</f>
        <v>0</v>
      </c>
      <c r="AM25" s="106"/>
      <c r="AN25" s="152">
        <f>AJ25*50%</f>
        <v>11071.5</v>
      </c>
      <c r="AO25" s="98">
        <f>AK25-AL25-AM25-AN25</f>
        <v>11071.5</v>
      </c>
      <c r="AP25" s="99"/>
      <c r="AQ25" s="109"/>
      <c r="AR25" s="107">
        <f>N25*4</f>
        <v>0</v>
      </c>
      <c r="AS25" s="106"/>
      <c r="AT25" s="151">
        <f>AJ25*10%+AJ25</f>
        <v>24357.3</v>
      </c>
      <c r="AU25" s="97">
        <f>AQ25+AR25+AS25+AT25</f>
        <v>24357.3</v>
      </c>
      <c r="AV25" s="107">
        <f>AR25</f>
        <v>0</v>
      </c>
      <c r="AW25" s="106"/>
      <c r="AX25" s="152">
        <f>AT25*50%</f>
        <v>12178.65</v>
      </c>
      <c r="AY25" s="153">
        <f>AU25-AV25-AW25-AX25</f>
        <v>12178.65</v>
      </c>
      <c r="AZ25" s="66"/>
      <c r="BA25" s="109"/>
      <c r="BB25" s="107">
        <f>AR25</f>
        <v>0</v>
      </c>
      <c r="BC25" s="106"/>
      <c r="BD25" s="151">
        <f>AT25*10%+AT25</f>
        <v>26793.03</v>
      </c>
      <c r="BE25" s="97">
        <f>BA25+BB25+BC25+BD25</f>
        <v>26793.03</v>
      </c>
      <c r="BF25" s="107">
        <f>BB25</f>
        <v>0</v>
      </c>
      <c r="BG25" s="106"/>
      <c r="BH25" s="152">
        <f>BD25*50%</f>
        <v>13396.514999999999</v>
      </c>
      <c r="BI25" s="153">
        <f>BE25-BF25-BG25-BH25</f>
        <v>13396.514999999999</v>
      </c>
      <c r="BK25" s="109"/>
      <c r="BL25" s="107">
        <f>BB25</f>
        <v>0</v>
      </c>
      <c r="BM25" s="106"/>
      <c r="BN25" s="151">
        <f>BD25*10%+BD25</f>
        <v>29472.332999999999</v>
      </c>
      <c r="BO25" s="97">
        <f>BK25+BL25+BM25+BN25</f>
        <v>29472.332999999999</v>
      </c>
      <c r="BP25" s="107">
        <f>BL25</f>
        <v>0</v>
      </c>
      <c r="BQ25" s="106"/>
      <c r="BR25" s="152">
        <f>BN25*50%</f>
        <v>14736.166499999999</v>
      </c>
      <c r="BS25" s="153">
        <f>BO25-BP25-BQ25-BR25</f>
        <v>14736.166499999999</v>
      </c>
    </row>
    <row r="26" spans="1:71" ht="14.25" customHeight="1" x14ac:dyDescent="0.25">
      <c r="A26" s="7"/>
      <c r="AQ26" s="9"/>
      <c r="AR26" s="9"/>
      <c r="AS26" s="9"/>
      <c r="AT26" s="9"/>
      <c r="AU26" s="9"/>
      <c r="AV26" s="9"/>
      <c r="AW26" s="9"/>
      <c r="AX26" s="9"/>
      <c r="AY26" s="9"/>
      <c r="BA26" s="9"/>
      <c r="BB26" s="9"/>
      <c r="BC26" s="9"/>
      <c r="BD26" s="9"/>
      <c r="BE26" s="9"/>
      <c r="BF26" s="9"/>
      <c r="BG26" s="9"/>
      <c r="BH26" s="9"/>
      <c r="BI26" s="9"/>
      <c r="BK26" s="9"/>
      <c r="BL26" s="9"/>
      <c r="BM26" s="9"/>
      <c r="BN26" s="9"/>
      <c r="BO26" s="9"/>
      <c r="BP26" s="9"/>
      <c r="BQ26" s="9"/>
      <c r="BR26" s="9"/>
      <c r="BS26" s="9"/>
    </row>
    <row r="27" spans="1:71" ht="14.25" customHeight="1" x14ac:dyDescent="0.25">
      <c r="A27" s="7"/>
      <c r="AQ27" s="9"/>
      <c r="AR27" s="9"/>
      <c r="AS27" s="9"/>
      <c r="AT27" s="9"/>
      <c r="AU27" s="9"/>
      <c r="AV27" s="9"/>
      <c r="AW27" s="9"/>
      <c r="AX27" s="9"/>
      <c r="AY27" s="9"/>
      <c r="BA27" s="9"/>
      <c r="BB27" s="9"/>
      <c r="BC27" s="9"/>
      <c r="BD27" s="9"/>
      <c r="BE27" s="9"/>
      <c r="BF27" s="9"/>
      <c r="BG27" s="9"/>
      <c r="BH27" s="9"/>
      <c r="BI27" s="9"/>
      <c r="BK27" s="9"/>
      <c r="BL27" s="9"/>
      <c r="BM27" s="9"/>
      <c r="BN27" s="9"/>
      <c r="BO27" s="9"/>
      <c r="BP27" s="9"/>
      <c r="BQ27" s="9"/>
      <c r="BR27" s="9"/>
      <c r="BS27" s="9"/>
    </row>
    <row r="28" spans="1:71" ht="14.25" customHeight="1" x14ac:dyDescent="0.25">
      <c r="A28" s="7"/>
      <c r="AP28" s="110"/>
      <c r="AQ28" s="9"/>
      <c r="AR28" s="9"/>
      <c r="AS28" s="9"/>
      <c r="AT28" s="9"/>
      <c r="AU28" s="9"/>
      <c r="AV28" s="9"/>
      <c r="AW28" s="9"/>
      <c r="AX28" s="9"/>
      <c r="AY28" s="9"/>
      <c r="BA28" s="9"/>
      <c r="BB28" s="9"/>
      <c r="BC28" s="9"/>
      <c r="BD28" s="9"/>
      <c r="BE28" s="9"/>
      <c r="BF28" s="9"/>
      <c r="BG28" s="9"/>
      <c r="BH28" s="9"/>
      <c r="BI28" s="9"/>
      <c r="BK28" s="9"/>
      <c r="BL28" s="9"/>
      <c r="BM28" s="9"/>
      <c r="BN28" s="9"/>
      <c r="BO28" s="9"/>
      <c r="BP28" s="9"/>
      <c r="BQ28" s="9"/>
      <c r="BR28" s="9"/>
      <c r="BS28" s="9"/>
    </row>
    <row r="29" spans="1:71" ht="14.25" customHeight="1" x14ac:dyDescent="0.25">
      <c r="A29" s="7"/>
      <c r="AP29" s="110"/>
      <c r="AQ29" s="9"/>
      <c r="AR29" s="9"/>
      <c r="AS29" s="9"/>
      <c r="AT29" s="9"/>
      <c r="AU29" s="9"/>
      <c r="AV29" s="9"/>
      <c r="AW29" s="9"/>
      <c r="AX29" s="9"/>
      <c r="AY29" s="9"/>
      <c r="BA29" s="9"/>
      <c r="BB29" s="9"/>
      <c r="BC29" s="9"/>
      <c r="BD29" s="9"/>
      <c r="BE29" s="9"/>
      <c r="BF29" s="9"/>
      <c r="BG29" s="9"/>
      <c r="BH29" s="9"/>
      <c r="BI29" s="9"/>
      <c r="BK29" s="9"/>
      <c r="BL29" s="9"/>
      <c r="BM29" s="9"/>
      <c r="BN29" s="9"/>
      <c r="BO29" s="9"/>
      <c r="BP29" s="9"/>
      <c r="BQ29" s="9"/>
      <c r="BR29" s="9"/>
      <c r="BS29" s="9"/>
    </row>
    <row r="30" spans="1:71" ht="14.25" customHeight="1" x14ac:dyDescent="0.25">
      <c r="A30" s="7"/>
      <c r="AP30" s="110"/>
      <c r="AQ30" s="9"/>
      <c r="AR30" s="9"/>
      <c r="AS30" s="9"/>
      <c r="AT30" s="9"/>
      <c r="AU30" s="9"/>
      <c r="AV30" s="9"/>
      <c r="AW30" s="9"/>
      <c r="AX30" s="9"/>
      <c r="AY30" s="9"/>
      <c r="BA30" s="9"/>
      <c r="BB30" s="9"/>
      <c r="BC30" s="9"/>
      <c r="BD30" s="9"/>
      <c r="BE30" s="9"/>
      <c r="BF30" s="9"/>
      <c r="BG30" s="9"/>
      <c r="BH30" s="9"/>
      <c r="BI30" s="9"/>
      <c r="BK30" s="9"/>
      <c r="BL30" s="9"/>
      <c r="BM30" s="9"/>
      <c r="BN30" s="9"/>
      <c r="BO30" s="9"/>
      <c r="BP30" s="9"/>
      <c r="BQ30" s="9"/>
      <c r="BR30" s="9"/>
      <c r="BS30" s="9"/>
    </row>
    <row r="31" spans="1:71" ht="14.25" customHeight="1" x14ac:dyDescent="0.25">
      <c r="A31" s="7"/>
      <c r="AP31" s="110"/>
      <c r="AQ31" s="9"/>
      <c r="AR31" s="9"/>
      <c r="AS31" s="9"/>
      <c r="AT31" s="9"/>
      <c r="AU31" s="9"/>
      <c r="AV31" s="9"/>
      <c r="AW31" s="9"/>
      <c r="AX31" s="9"/>
      <c r="AY31" s="9"/>
      <c r="BA31" s="9"/>
      <c r="BB31" s="9"/>
      <c r="BC31" s="9"/>
      <c r="BD31" s="9"/>
      <c r="BE31" s="9"/>
      <c r="BF31" s="9"/>
      <c r="BG31" s="9"/>
      <c r="BH31" s="9"/>
      <c r="BI31" s="9"/>
      <c r="BK31" s="9"/>
      <c r="BL31" s="9"/>
      <c r="BM31" s="9"/>
      <c r="BN31" s="9"/>
      <c r="BO31" s="9"/>
      <c r="BP31" s="9"/>
      <c r="BQ31" s="9"/>
      <c r="BR31" s="9"/>
      <c r="BS31" s="9"/>
    </row>
    <row r="32" spans="1:71" ht="14.25" customHeight="1" x14ac:dyDescent="0.25">
      <c r="A32" s="7"/>
      <c r="AQ32" s="9"/>
      <c r="AR32" s="9"/>
      <c r="AS32" s="9"/>
      <c r="AT32" s="9"/>
      <c r="AU32" s="9"/>
      <c r="AV32" s="9"/>
      <c r="AW32" s="9"/>
      <c r="AX32" s="9"/>
      <c r="AY32" s="9"/>
      <c r="BA32" s="9"/>
      <c r="BB32" s="9"/>
      <c r="BC32" s="9"/>
      <c r="BD32" s="9"/>
      <c r="BE32" s="9"/>
      <c r="BF32" s="9"/>
      <c r="BG32" s="9"/>
      <c r="BH32" s="9"/>
      <c r="BI32" s="9"/>
      <c r="BK32" s="9"/>
      <c r="BL32" s="9"/>
      <c r="BM32" s="9"/>
      <c r="BN32" s="9"/>
      <c r="BO32" s="9"/>
      <c r="BP32" s="9"/>
      <c r="BQ32" s="9"/>
      <c r="BR32" s="9"/>
      <c r="BS32" s="9"/>
    </row>
    <row r="33" spans="1:71" ht="14.25" customHeight="1" x14ac:dyDescent="0.25">
      <c r="A33" s="7"/>
      <c r="AP33" s="110"/>
      <c r="AQ33" s="9"/>
      <c r="AR33" s="9"/>
      <c r="AS33" s="9"/>
      <c r="AT33" s="9"/>
      <c r="AU33" s="9"/>
      <c r="AV33" s="9"/>
      <c r="AW33" s="9"/>
      <c r="AX33" s="9"/>
      <c r="AY33" s="9"/>
      <c r="BA33" s="9"/>
      <c r="BB33" s="9"/>
      <c r="BC33" s="9"/>
      <c r="BD33" s="9"/>
      <c r="BE33" s="9"/>
      <c r="BF33" s="9"/>
      <c r="BG33" s="9"/>
      <c r="BH33" s="9"/>
      <c r="BI33" s="9"/>
      <c r="BK33" s="9"/>
      <c r="BL33" s="9"/>
      <c r="BM33" s="9"/>
      <c r="BN33" s="9"/>
      <c r="BO33" s="9"/>
      <c r="BP33" s="9"/>
      <c r="BQ33" s="9"/>
      <c r="BR33" s="9"/>
      <c r="BS33" s="9"/>
    </row>
    <row r="34" spans="1:71" ht="14.25" customHeight="1" x14ac:dyDescent="0.25">
      <c r="A34" s="7"/>
      <c r="AP34" s="110"/>
      <c r="AQ34" s="9"/>
      <c r="AR34" s="9"/>
      <c r="AS34" s="9"/>
      <c r="AT34" s="9"/>
      <c r="AU34" s="9"/>
      <c r="AV34" s="9"/>
      <c r="AW34" s="9"/>
      <c r="AX34" s="9"/>
      <c r="AY34" s="9"/>
      <c r="BA34" s="9"/>
      <c r="BB34" s="9"/>
      <c r="BC34" s="9"/>
      <c r="BD34" s="9"/>
      <c r="BE34" s="9"/>
      <c r="BF34" s="9"/>
      <c r="BG34" s="9"/>
      <c r="BH34" s="9"/>
      <c r="BI34" s="9"/>
      <c r="BK34" s="9"/>
      <c r="BL34" s="9"/>
      <c r="BM34" s="9"/>
      <c r="BN34" s="9"/>
      <c r="BO34" s="9"/>
      <c r="BP34" s="9"/>
      <c r="BQ34" s="9"/>
      <c r="BR34" s="9"/>
      <c r="BS34" s="9"/>
    </row>
    <row r="35" spans="1:71" ht="14.25" customHeight="1" x14ac:dyDescent="0.25">
      <c r="A35" s="7"/>
      <c r="AP35" s="110"/>
      <c r="AQ35" s="9"/>
      <c r="AR35" s="9"/>
      <c r="AS35" s="9"/>
      <c r="AT35" s="9"/>
      <c r="AU35" s="9"/>
      <c r="AV35" s="9"/>
      <c r="AW35" s="9"/>
      <c r="AX35" s="9"/>
      <c r="AY35" s="9"/>
      <c r="BA35" s="9"/>
      <c r="BB35" s="9"/>
      <c r="BC35" s="9"/>
      <c r="BD35" s="9"/>
      <c r="BE35" s="9"/>
      <c r="BF35" s="9"/>
      <c r="BG35" s="9"/>
      <c r="BH35" s="9"/>
      <c r="BI35" s="9"/>
      <c r="BK35" s="9"/>
      <c r="BL35" s="9"/>
      <c r="BM35" s="9"/>
      <c r="BN35" s="9"/>
      <c r="BO35" s="9"/>
      <c r="BP35" s="9"/>
      <c r="BQ35" s="9"/>
      <c r="BR35" s="9"/>
      <c r="BS35" s="9"/>
    </row>
    <row r="36" spans="1:71" ht="14.25" customHeight="1" x14ac:dyDescent="0.25">
      <c r="A36" s="7"/>
      <c r="AP36" s="110"/>
      <c r="AQ36" s="9"/>
      <c r="AR36" s="9"/>
      <c r="AS36" s="9"/>
      <c r="AT36" s="9"/>
      <c r="AU36" s="9"/>
      <c r="AV36" s="9"/>
      <c r="AW36" s="9"/>
      <c r="AX36" s="9"/>
      <c r="AY36" s="9"/>
      <c r="BA36" s="9"/>
      <c r="BB36" s="9"/>
      <c r="BC36" s="9"/>
      <c r="BD36" s="9"/>
      <c r="BE36" s="9"/>
      <c r="BF36" s="9"/>
      <c r="BG36" s="9"/>
      <c r="BH36" s="9"/>
      <c r="BI36" s="9"/>
      <c r="BK36" s="9"/>
      <c r="BL36" s="9"/>
      <c r="BM36" s="9"/>
      <c r="BN36" s="9"/>
      <c r="BO36" s="9"/>
      <c r="BP36" s="9"/>
      <c r="BQ36" s="9"/>
      <c r="BR36" s="9"/>
      <c r="BS36" s="9"/>
    </row>
    <row r="37" spans="1:71" ht="14.25" customHeight="1" x14ac:dyDescent="0.25">
      <c r="A37" s="7"/>
      <c r="AP37" s="110"/>
      <c r="AQ37" s="9"/>
      <c r="AR37" s="9"/>
      <c r="AS37" s="9"/>
      <c r="AT37" s="9"/>
      <c r="AU37" s="9"/>
      <c r="AV37" s="9"/>
      <c r="AW37" s="9"/>
      <c r="AX37" s="9"/>
      <c r="AY37" s="9"/>
      <c r="BA37" s="9"/>
      <c r="BB37" s="9"/>
      <c r="BC37" s="9"/>
      <c r="BD37" s="9"/>
      <c r="BE37" s="9"/>
      <c r="BF37" s="9"/>
      <c r="BG37" s="9"/>
      <c r="BH37" s="9"/>
      <c r="BI37" s="9"/>
      <c r="BK37" s="9"/>
      <c r="BL37" s="9"/>
      <c r="BM37" s="9"/>
      <c r="BN37" s="9"/>
      <c r="BO37" s="9"/>
      <c r="BP37" s="9"/>
      <c r="BQ37" s="9"/>
      <c r="BR37" s="9"/>
      <c r="BS37" s="9"/>
    </row>
    <row r="38" spans="1:71" ht="14.25" customHeight="1" x14ac:dyDescent="0.25">
      <c r="A38" s="7"/>
      <c r="AP38" s="110"/>
      <c r="AQ38" s="9"/>
      <c r="AR38" s="9"/>
      <c r="AS38" s="9"/>
      <c r="AT38" s="9"/>
      <c r="AU38" s="9"/>
      <c r="AV38" s="9"/>
      <c r="AW38" s="9"/>
      <c r="AX38" s="9"/>
      <c r="AY38" s="9"/>
      <c r="BA38" s="9"/>
      <c r="BB38" s="9"/>
      <c r="BC38" s="9"/>
      <c r="BD38" s="9"/>
      <c r="BE38" s="9"/>
      <c r="BF38" s="9"/>
      <c r="BG38" s="9"/>
      <c r="BH38" s="9"/>
      <c r="BI38" s="9"/>
      <c r="BK38" s="9"/>
      <c r="BL38" s="9"/>
      <c r="BM38" s="9"/>
      <c r="BN38" s="9"/>
      <c r="BO38" s="9"/>
      <c r="BP38" s="9"/>
      <c r="BQ38" s="9"/>
      <c r="BR38" s="9"/>
      <c r="BS38" s="9"/>
    </row>
    <row r="39" spans="1:71" ht="14.25" customHeight="1" x14ac:dyDescent="0.25">
      <c r="A39" s="7"/>
      <c r="AQ39" s="9"/>
      <c r="AR39" s="9"/>
      <c r="AS39" s="9"/>
      <c r="AT39" s="9"/>
      <c r="AU39" s="9"/>
      <c r="AV39" s="9"/>
      <c r="AW39" s="9"/>
      <c r="AX39" s="9"/>
      <c r="AY39" s="9"/>
      <c r="BA39" s="9"/>
      <c r="BB39" s="9"/>
      <c r="BC39" s="9"/>
      <c r="BD39" s="9"/>
      <c r="BE39" s="9"/>
      <c r="BF39" s="9"/>
      <c r="BG39" s="9"/>
      <c r="BH39" s="9"/>
      <c r="BI39" s="9"/>
      <c r="BK39" s="9"/>
      <c r="BL39" s="9"/>
      <c r="BM39" s="9"/>
      <c r="BN39" s="9"/>
      <c r="BO39" s="9"/>
      <c r="BP39" s="9"/>
      <c r="BQ39" s="9"/>
      <c r="BR39" s="9"/>
      <c r="BS39" s="9"/>
    </row>
    <row r="40" spans="1:71" ht="14.25" customHeight="1" x14ac:dyDescent="0.25">
      <c r="A40" s="7"/>
      <c r="AQ40" s="9"/>
      <c r="AR40" s="9"/>
      <c r="AS40" s="9"/>
      <c r="AT40" s="9"/>
      <c r="AU40" s="9"/>
      <c r="AV40" s="9"/>
      <c r="AW40" s="9"/>
      <c r="AX40" s="9"/>
      <c r="AY40" s="9"/>
      <c r="BA40" s="9"/>
      <c r="BB40" s="9"/>
      <c r="BC40" s="9"/>
      <c r="BD40" s="9"/>
      <c r="BE40" s="9"/>
      <c r="BF40" s="9"/>
      <c r="BG40" s="9"/>
      <c r="BH40" s="9"/>
      <c r="BI40" s="9"/>
      <c r="BK40" s="9"/>
      <c r="BL40" s="9"/>
      <c r="BM40" s="9"/>
      <c r="BN40" s="9"/>
      <c r="BO40" s="9"/>
      <c r="BP40" s="9"/>
      <c r="BQ40" s="9"/>
      <c r="BR40" s="9"/>
      <c r="BS40" s="9"/>
    </row>
    <row r="41" spans="1:71" ht="14.25" customHeight="1" x14ac:dyDescent="0.25">
      <c r="A41" s="7"/>
      <c r="AQ41" s="9"/>
      <c r="AR41" s="9"/>
      <c r="AS41" s="9"/>
      <c r="AT41" s="9"/>
      <c r="AU41" s="9"/>
      <c r="AV41" s="9"/>
      <c r="AW41" s="9"/>
      <c r="AX41" s="9"/>
      <c r="AY41" s="9"/>
      <c r="BA41" s="9"/>
      <c r="BB41" s="9"/>
      <c r="BC41" s="9"/>
      <c r="BD41" s="9"/>
      <c r="BE41" s="9"/>
      <c r="BF41" s="9"/>
      <c r="BG41" s="9"/>
      <c r="BH41" s="9"/>
      <c r="BI41" s="9"/>
      <c r="BK41" s="9"/>
      <c r="BL41" s="9"/>
      <c r="BM41" s="9"/>
      <c r="BN41" s="9"/>
      <c r="BO41" s="9"/>
      <c r="BP41" s="9"/>
      <c r="BQ41" s="9"/>
      <c r="BR41" s="9"/>
      <c r="BS41" s="9"/>
    </row>
    <row r="42" spans="1:71" ht="14.25" customHeight="1" x14ac:dyDescent="0.25">
      <c r="A42" s="7"/>
      <c r="AP42" s="110"/>
      <c r="AQ42" s="9"/>
      <c r="AR42" s="9"/>
      <c r="AS42" s="9"/>
      <c r="AT42" s="9"/>
      <c r="AU42" s="9"/>
      <c r="AV42" s="9"/>
      <c r="AW42" s="9"/>
      <c r="AX42" s="9"/>
      <c r="AY42" s="9"/>
      <c r="BA42" s="9"/>
      <c r="BB42" s="9"/>
      <c r="BC42" s="9"/>
      <c r="BD42" s="9"/>
      <c r="BE42" s="9"/>
      <c r="BF42" s="9"/>
      <c r="BG42" s="9"/>
      <c r="BH42" s="9"/>
      <c r="BI42" s="9"/>
      <c r="BK42" s="9"/>
      <c r="BL42" s="9"/>
      <c r="BM42" s="9"/>
      <c r="BN42" s="9"/>
      <c r="BO42" s="9"/>
      <c r="BP42" s="9"/>
      <c r="BQ42" s="9"/>
      <c r="BR42" s="9"/>
      <c r="BS42" s="9"/>
    </row>
    <row r="43" spans="1:71" ht="14.25" customHeight="1" x14ac:dyDescent="0.25">
      <c r="A43" s="7"/>
      <c r="AP43" s="110"/>
      <c r="AQ43" s="9"/>
      <c r="AR43" s="9"/>
      <c r="AS43" s="9"/>
      <c r="AT43" s="9"/>
      <c r="AU43" s="9"/>
      <c r="AV43" s="9"/>
      <c r="AW43" s="9"/>
      <c r="AX43" s="9"/>
      <c r="AY43" s="9"/>
      <c r="BA43" s="9"/>
      <c r="BB43" s="9"/>
      <c r="BC43" s="9"/>
      <c r="BD43" s="9"/>
      <c r="BE43" s="9"/>
      <c r="BF43" s="9"/>
      <c r="BG43" s="9"/>
      <c r="BH43" s="9"/>
      <c r="BI43" s="9"/>
      <c r="BK43" s="9"/>
      <c r="BL43" s="9"/>
      <c r="BM43" s="9"/>
      <c r="BN43" s="9"/>
      <c r="BO43" s="9"/>
      <c r="BP43" s="9"/>
      <c r="BQ43" s="9"/>
      <c r="BR43" s="9"/>
      <c r="BS43" s="9"/>
    </row>
    <row r="44" spans="1:71" ht="14.25" customHeight="1" x14ac:dyDescent="0.25">
      <c r="A44" s="7"/>
      <c r="AP44" s="110"/>
      <c r="AQ44" s="9"/>
      <c r="AR44" s="9"/>
      <c r="AS44" s="9"/>
      <c r="AT44" s="9"/>
      <c r="AU44" s="9"/>
      <c r="AV44" s="9"/>
      <c r="AW44" s="9"/>
      <c r="AX44" s="9"/>
      <c r="AY44" s="9"/>
      <c r="BA44" s="9"/>
      <c r="BB44" s="9"/>
      <c r="BC44" s="9"/>
      <c r="BD44" s="9"/>
      <c r="BE44" s="9"/>
      <c r="BF44" s="9"/>
      <c r="BG44" s="9"/>
      <c r="BH44" s="9"/>
      <c r="BI44" s="9"/>
      <c r="BK44" s="9"/>
      <c r="BL44" s="9"/>
      <c r="BM44" s="9"/>
      <c r="BN44" s="9"/>
      <c r="BO44" s="9"/>
      <c r="BP44" s="9"/>
      <c r="BQ44" s="9"/>
      <c r="BR44" s="9"/>
      <c r="BS44" s="9"/>
    </row>
    <row r="45" spans="1:71" ht="14.25" customHeight="1" x14ac:dyDescent="0.25">
      <c r="A45" s="7"/>
      <c r="AP45" s="110"/>
      <c r="AQ45" s="9"/>
      <c r="AR45" s="9"/>
      <c r="AS45" s="9"/>
      <c r="AT45" s="9"/>
      <c r="AU45" s="9"/>
      <c r="AV45" s="9"/>
      <c r="AW45" s="9"/>
      <c r="AX45" s="9"/>
      <c r="AY45" s="9"/>
      <c r="BA45" s="9"/>
      <c r="BB45" s="9"/>
      <c r="BC45" s="9"/>
      <c r="BD45" s="9"/>
      <c r="BE45" s="9"/>
      <c r="BF45" s="9"/>
      <c r="BG45" s="9"/>
      <c r="BH45" s="9"/>
      <c r="BI45" s="9"/>
      <c r="BK45" s="9"/>
      <c r="BL45" s="9"/>
      <c r="BM45" s="9"/>
      <c r="BN45" s="9"/>
      <c r="BO45" s="9"/>
      <c r="BP45" s="9"/>
      <c r="BQ45" s="9"/>
      <c r="BR45" s="9"/>
      <c r="BS45" s="9"/>
    </row>
    <row r="46" spans="1:71" ht="14.25" customHeight="1" x14ac:dyDescent="0.25">
      <c r="A46" s="7"/>
      <c r="AP46" s="110"/>
      <c r="AQ46" s="9"/>
      <c r="AR46" s="9"/>
      <c r="AS46" s="9"/>
      <c r="AT46" s="9"/>
      <c r="AU46" s="9"/>
      <c r="AV46" s="9"/>
      <c r="AW46" s="9"/>
      <c r="AX46" s="9"/>
      <c r="AY46" s="9"/>
      <c r="BA46" s="9"/>
      <c r="BB46" s="9"/>
      <c r="BC46" s="9"/>
      <c r="BD46" s="9"/>
      <c r="BE46" s="9"/>
      <c r="BF46" s="9"/>
      <c r="BG46" s="9"/>
      <c r="BH46" s="9"/>
      <c r="BI46" s="9"/>
      <c r="BK46" s="9"/>
      <c r="BL46" s="9"/>
      <c r="BM46" s="9"/>
      <c r="BN46" s="9"/>
      <c r="BO46" s="9"/>
      <c r="BP46" s="9"/>
      <c r="BQ46" s="9"/>
      <c r="BR46" s="9"/>
      <c r="BS46" s="9"/>
    </row>
    <row r="47" spans="1:71" ht="14.25" customHeight="1" x14ac:dyDescent="0.25">
      <c r="A47" s="7"/>
      <c r="AP47" s="110"/>
      <c r="AQ47" s="9"/>
      <c r="AR47" s="9"/>
      <c r="AS47" s="9"/>
      <c r="AT47" s="9"/>
      <c r="AU47" s="9"/>
      <c r="AV47" s="9"/>
      <c r="AW47" s="9"/>
      <c r="AX47" s="9"/>
      <c r="AY47" s="9"/>
      <c r="BA47" s="9"/>
      <c r="BB47" s="9"/>
      <c r="BC47" s="9"/>
      <c r="BD47" s="9"/>
      <c r="BE47" s="9"/>
      <c r="BF47" s="9"/>
      <c r="BG47" s="9"/>
      <c r="BH47" s="9"/>
      <c r="BI47" s="9"/>
      <c r="BK47" s="9"/>
      <c r="BL47" s="9"/>
      <c r="BM47" s="9"/>
      <c r="BN47" s="9"/>
      <c r="BO47" s="9"/>
      <c r="BP47" s="9"/>
      <c r="BQ47" s="9"/>
      <c r="BR47" s="9"/>
      <c r="BS47" s="9"/>
    </row>
    <row r="48" spans="1:71" ht="14.25" customHeight="1" x14ac:dyDescent="0.25">
      <c r="A48" s="7"/>
      <c r="AP48" s="110"/>
      <c r="AQ48" s="9"/>
      <c r="AR48" s="9"/>
      <c r="AS48" s="9"/>
      <c r="AT48" s="9"/>
      <c r="AU48" s="9"/>
      <c r="AV48" s="9"/>
      <c r="AW48" s="9"/>
      <c r="AX48" s="9"/>
      <c r="AY48" s="9"/>
      <c r="BA48" s="9"/>
      <c r="BB48" s="9"/>
      <c r="BC48" s="9"/>
      <c r="BD48" s="9"/>
      <c r="BE48" s="9"/>
      <c r="BF48" s="9"/>
      <c r="BG48" s="9"/>
      <c r="BH48" s="9"/>
      <c r="BI48" s="9"/>
      <c r="BK48" s="9"/>
      <c r="BL48" s="9"/>
      <c r="BM48" s="9"/>
      <c r="BN48" s="9"/>
      <c r="BO48" s="9"/>
      <c r="BP48" s="9"/>
      <c r="BQ48" s="9"/>
      <c r="BR48" s="9"/>
      <c r="BS48" s="9"/>
    </row>
    <row r="49" spans="1:71" ht="14.25" customHeight="1" x14ac:dyDescent="0.25">
      <c r="A49" s="7"/>
      <c r="AP49" s="110"/>
      <c r="AQ49" s="9"/>
      <c r="AR49" s="9"/>
      <c r="AS49" s="9"/>
      <c r="AT49" s="9"/>
      <c r="AU49" s="9"/>
      <c r="AV49" s="9"/>
      <c r="AW49" s="9"/>
      <c r="AX49" s="9"/>
      <c r="AY49" s="9"/>
      <c r="BA49" s="9"/>
      <c r="BB49" s="9"/>
      <c r="BC49" s="9"/>
      <c r="BD49" s="9"/>
      <c r="BE49" s="9"/>
      <c r="BF49" s="9"/>
      <c r="BG49" s="9"/>
      <c r="BH49" s="9"/>
      <c r="BI49" s="9"/>
      <c r="BK49" s="9"/>
      <c r="BL49" s="9"/>
      <c r="BM49" s="9"/>
      <c r="BN49" s="9"/>
      <c r="BO49" s="9"/>
      <c r="BP49" s="9"/>
      <c r="BQ49" s="9"/>
      <c r="BR49" s="9"/>
      <c r="BS49" s="9"/>
    </row>
    <row r="50" spans="1:71" ht="14.25" customHeight="1" x14ac:dyDescent="0.25">
      <c r="A50" s="7"/>
      <c r="AP50" s="110"/>
      <c r="AQ50" s="9"/>
      <c r="AR50" s="9"/>
      <c r="AS50" s="9"/>
      <c r="AT50" s="9"/>
      <c r="AU50" s="9"/>
      <c r="AV50" s="9"/>
      <c r="AW50" s="9"/>
      <c r="AX50" s="9"/>
      <c r="AY50" s="9"/>
      <c r="BA50" s="9"/>
      <c r="BB50" s="9"/>
      <c r="BC50" s="9"/>
      <c r="BD50" s="9"/>
      <c r="BE50" s="9"/>
      <c r="BF50" s="9"/>
      <c r="BG50" s="9"/>
      <c r="BH50" s="9"/>
      <c r="BI50" s="9"/>
      <c r="BK50" s="9"/>
      <c r="BL50" s="9"/>
      <c r="BM50" s="9"/>
      <c r="BN50" s="9"/>
      <c r="BO50" s="9"/>
      <c r="BP50" s="9"/>
      <c r="BQ50" s="9"/>
      <c r="BR50" s="9"/>
      <c r="BS50" s="9"/>
    </row>
    <row r="51" spans="1:71" ht="14.25" customHeight="1" x14ac:dyDescent="0.25">
      <c r="A51" s="7"/>
      <c r="AP51" s="110"/>
      <c r="AQ51" s="9"/>
      <c r="AR51" s="9"/>
      <c r="AS51" s="9"/>
      <c r="AT51" s="9"/>
      <c r="AU51" s="9"/>
      <c r="AV51" s="9"/>
      <c r="AW51" s="9"/>
      <c r="AX51" s="9"/>
      <c r="AY51" s="9"/>
      <c r="BA51" s="9"/>
      <c r="BB51" s="9"/>
      <c r="BC51" s="9"/>
      <c r="BD51" s="9"/>
      <c r="BE51" s="9"/>
      <c r="BF51" s="9"/>
      <c r="BG51" s="9"/>
      <c r="BH51" s="9"/>
      <c r="BI51" s="9"/>
      <c r="BK51" s="9"/>
      <c r="BL51" s="9"/>
      <c r="BM51" s="9"/>
      <c r="BN51" s="9"/>
      <c r="BO51" s="9"/>
      <c r="BP51" s="9"/>
      <c r="BQ51" s="9"/>
      <c r="BR51" s="9"/>
      <c r="BS51" s="9"/>
    </row>
    <row r="52" spans="1:71" ht="14.25" customHeight="1" x14ac:dyDescent="0.25">
      <c r="A52" s="7"/>
      <c r="AQ52" s="9"/>
      <c r="AR52" s="9"/>
      <c r="AS52" s="9"/>
      <c r="AT52" s="9"/>
      <c r="AU52" s="9"/>
      <c r="AV52" s="9"/>
      <c r="AW52" s="9"/>
      <c r="AX52" s="9"/>
      <c r="AY52" s="9"/>
      <c r="BA52" s="9"/>
      <c r="BB52" s="9"/>
      <c r="BC52" s="9"/>
      <c r="BD52" s="9"/>
      <c r="BE52" s="9"/>
      <c r="BF52" s="9"/>
      <c r="BG52" s="9"/>
      <c r="BH52" s="9"/>
      <c r="BI52" s="9"/>
      <c r="BK52" s="9"/>
      <c r="BL52" s="9"/>
      <c r="BM52" s="9"/>
      <c r="BN52" s="9"/>
      <c r="BO52" s="9"/>
      <c r="BP52" s="9"/>
      <c r="BQ52" s="9"/>
      <c r="BR52" s="9"/>
      <c r="BS52" s="9"/>
    </row>
    <row r="53" spans="1:71" ht="14.25" customHeight="1" x14ac:dyDescent="0.25">
      <c r="A53" s="7"/>
      <c r="AQ53" s="9"/>
      <c r="AR53" s="9"/>
      <c r="AS53" s="9"/>
      <c r="AT53" s="9"/>
      <c r="AU53" s="9"/>
      <c r="AV53" s="9"/>
      <c r="AW53" s="9"/>
      <c r="AX53" s="9"/>
      <c r="AY53" s="9"/>
      <c r="BA53" s="9"/>
      <c r="BB53" s="9"/>
      <c r="BC53" s="9"/>
      <c r="BD53" s="9"/>
      <c r="BE53" s="9"/>
      <c r="BF53" s="9"/>
      <c r="BG53" s="9"/>
      <c r="BH53" s="9"/>
      <c r="BI53" s="9"/>
      <c r="BK53" s="9"/>
      <c r="BL53" s="9"/>
      <c r="BM53" s="9"/>
      <c r="BN53" s="9"/>
      <c r="BO53" s="9"/>
      <c r="BP53" s="9"/>
      <c r="BQ53" s="9"/>
      <c r="BR53" s="9"/>
      <c r="BS53" s="9"/>
    </row>
    <row r="54" spans="1:71" ht="14.25" customHeight="1" x14ac:dyDescent="0.25">
      <c r="A54" s="7"/>
      <c r="AQ54" s="9"/>
      <c r="AR54" s="9"/>
      <c r="AS54" s="9"/>
      <c r="AT54" s="9"/>
      <c r="AU54" s="9"/>
      <c r="AV54" s="9"/>
      <c r="AW54" s="9"/>
      <c r="AX54" s="9"/>
      <c r="AY54" s="9"/>
      <c r="BA54" s="9"/>
      <c r="BB54" s="9"/>
      <c r="BC54" s="9"/>
      <c r="BD54" s="9"/>
      <c r="BE54" s="9"/>
      <c r="BF54" s="9"/>
      <c r="BG54" s="9"/>
      <c r="BH54" s="9"/>
      <c r="BI54" s="9"/>
      <c r="BK54" s="9"/>
      <c r="BL54" s="9"/>
      <c r="BM54" s="9"/>
      <c r="BN54" s="9"/>
      <c r="BO54" s="9"/>
      <c r="BP54" s="9"/>
      <c r="BQ54" s="9"/>
      <c r="BR54" s="9"/>
      <c r="BS54" s="9"/>
    </row>
    <row r="55" spans="1:71" ht="14.25" customHeight="1" x14ac:dyDescent="0.25">
      <c r="A55" s="7"/>
      <c r="AQ55" s="9"/>
      <c r="AR55" s="9"/>
      <c r="AS55" s="9"/>
      <c r="AT55" s="9"/>
      <c r="AU55" s="9"/>
      <c r="AV55" s="9"/>
      <c r="AW55" s="9"/>
      <c r="AX55" s="9"/>
      <c r="AY55" s="9"/>
      <c r="BA55" s="9"/>
      <c r="BB55" s="9"/>
      <c r="BC55" s="9"/>
      <c r="BD55" s="9"/>
      <c r="BE55" s="9"/>
      <c r="BF55" s="9"/>
      <c r="BG55" s="9"/>
      <c r="BH55" s="9"/>
      <c r="BI55" s="9"/>
      <c r="BK55" s="9"/>
      <c r="BL55" s="9"/>
      <c r="BM55" s="9"/>
      <c r="BN55" s="9"/>
      <c r="BO55" s="9"/>
      <c r="BP55" s="9"/>
      <c r="BQ55" s="9"/>
      <c r="BR55" s="9"/>
      <c r="BS55" s="9"/>
    </row>
    <row r="56" spans="1:71" ht="14.25" customHeight="1" x14ac:dyDescent="0.25">
      <c r="A56" s="7"/>
      <c r="AP56" s="95"/>
      <c r="AQ56" s="9"/>
      <c r="AR56" s="9"/>
      <c r="AS56" s="9"/>
      <c r="AT56" s="9"/>
      <c r="AU56" s="9"/>
      <c r="AV56" s="9"/>
      <c r="AW56" s="9"/>
      <c r="AX56" s="9"/>
      <c r="AY56" s="9"/>
      <c r="BA56" s="9"/>
      <c r="BB56" s="9"/>
      <c r="BC56" s="9"/>
      <c r="BD56" s="9"/>
      <c r="BE56" s="9"/>
      <c r="BF56" s="9"/>
      <c r="BG56" s="9"/>
      <c r="BH56" s="9"/>
      <c r="BI56" s="9"/>
      <c r="BK56" s="9"/>
      <c r="BL56" s="9"/>
      <c r="BM56" s="9"/>
      <c r="BN56" s="9"/>
      <c r="BO56" s="9"/>
      <c r="BP56" s="9"/>
      <c r="BQ56" s="9"/>
      <c r="BR56" s="9"/>
      <c r="BS56" s="9"/>
    </row>
    <row r="57" spans="1:71" ht="14.25" customHeight="1" x14ac:dyDescent="0.25">
      <c r="A57" s="7"/>
      <c r="AP57" s="95"/>
      <c r="AQ57" s="9"/>
      <c r="AR57" s="9"/>
      <c r="AS57" s="9"/>
      <c r="AT57" s="9"/>
      <c r="AU57" s="9"/>
      <c r="AV57" s="9"/>
      <c r="AW57" s="9"/>
      <c r="AX57" s="9"/>
      <c r="AY57" s="9"/>
      <c r="BA57" s="9"/>
      <c r="BB57" s="9"/>
      <c r="BC57" s="9"/>
      <c r="BD57" s="9"/>
      <c r="BE57" s="9"/>
      <c r="BF57" s="9"/>
      <c r="BG57" s="9"/>
      <c r="BH57" s="9"/>
      <c r="BI57" s="9"/>
      <c r="BK57" s="9"/>
      <c r="BL57" s="9"/>
      <c r="BM57" s="9"/>
      <c r="BN57" s="9"/>
      <c r="BO57" s="9"/>
      <c r="BP57" s="9"/>
      <c r="BQ57" s="9"/>
      <c r="BR57" s="9"/>
      <c r="BS57" s="9"/>
    </row>
    <row r="58" spans="1:71" ht="14.25" customHeight="1" x14ac:dyDescent="0.25">
      <c r="A58" s="7"/>
      <c r="AP58" s="95"/>
      <c r="AQ58" s="9"/>
      <c r="AR58" s="9"/>
      <c r="AS58" s="9"/>
      <c r="AT58" s="9"/>
      <c r="AU58" s="9"/>
      <c r="AV58" s="9"/>
      <c r="AW58" s="9"/>
      <c r="AX58" s="9"/>
      <c r="AY58" s="9"/>
      <c r="BA58" s="9"/>
      <c r="BB58" s="9"/>
      <c r="BC58" s="9"/>
      <c r="BD58" s="9"/>
      <c r="BE58" s="9"/>
      <c r="BF58" s="9"/>
      <c r="BG58" s="9"/>
      <c r="BH58" s="9"/>
      <c r="BI58" s="9"/>
      <c r="BK58" s="9"/>
      <c r="BL58" s="9"/>
      <c r="BM58" s="9"/>
      <c r="BN58" s="9"/>
      <c r="BO58" s="9"/>
      <c r="BP58" s="9"/>
      <c r="BQ58" s="9"/>
      <c r="BR58" s="9"/>
      <c r="BS58" s="9"/>
    </row>
    <row r="59" spans="1:71" ht="14.25" customHeight="1" x14ac:dyDescent="0.25">
      <c r="A59" s="7"/>
      <c r="AP59" s="95"/>
      <c r="AQ59" s="9"/>
      <c r="AR59" s="9"/>
      <c r="AS59" s="9"/>
      <c r="AT59" s="9"/>
      <c r="AU59" s="9"/>
      <c r="AV59" s="9"/>
      <c r="AW59" s="9"/>
      <c r="AX59" s="9"/>
      <c r="AY59" s="9"/>
      <c r="BA59" s="9"/>
      <c r="BB59" s="9"/>
      <c r="BC59" s="9"/>
      <c r="BD59" s="9"/>
      <c r="BE59" s="9"/>
      <c r="BF59" s="9"/>
      <c r="BG59" s="9"/>
      <c r="BH59" s="9"/>
      <c r="BI59" s="9"/>
      <c r="BK59" s="9"/>
      <c r="BL59" s="9"/>
      <c r="BM59" s="9"/>
      <c r="BN59" s="9"/>
      <c r="BO59" s="9"/>
      <c r="BP59" s="9"/>
      <c r="BQ59" s="9"/>
      <c r="BR59" s="9"/>
      <c r="BS59" s="9"/>
    </row>
    <row r="60" spans="1:71" ht="14.25" customHeight="1" x14ac:dyDescent="0.25">
      <c r="A60" s="7"/>
      <c r="AP60" s="95"/>
      <c r="AQ60" s="9"/>
      <c r="AR60" s="9"/>
      <c r="AS60" s="9"/>
      <c r="AT60" s="9"/>
      <c r="AU60" s="9"/>
      <c r="AV60" s="9"/>
      <c r="AW60" s="9"/>
      <c r="AX60" s="9"/>
      <c r="AY60" s="9"/>
      <c r="BA60" s="9"/>
      <c r="BB60" s="9"/>
      <c r="BC60" s="9"/>
      <c r="BD60" s="9"/>
      <c r="BE60" s="9"/>
      <c r="BF60" s="9"/>
      <c r="BG60" s="9"/>
      <c r="BH60" s="9"/>
      <c r="BI60" s="9"/>
      <c r="BK60" s="9"/>
      <c r="BL60" s="9"/>
      <c r="BM60" s="9"/>
      <c r="BN60" s="9"/>
      <c r="BO60" s="9"/>
      <c r="BP60" s="9"/>
      <c r="BQ60" s="9"/>
      <c r="BR60" s="9"/>
      <c r="BS60" s="9"/>
    </row>
    <row r="61" spans="1:71" ht="14.25" customHeight="1" x14ac:dyDescent="0.25">
      <c r="A61" s="7"/>
      <c r="AP61" s="95"/>
      <c r="AQ61" s="9"/>
      <c r="AR61" s="9"/>
      <c r="AS61" s="9"/>
      <c r="AT61" s="9"/>
      <c r="AU61" s="9"/>
      <c r="AV61" s="9"/>
      <c r="AW61" s="9"/>
      <c r="AX61" s="9"/>
      <c r="AY61" s="9"/>
      <c r="BA61" s="9"/>
      <c r="BB61" s="9"/>
      <c r="BC61" s="9"/>
      <c r="BD61" s="9"/>
      <c r="BE61" s="9"/>
      <c r="BF61" s="9"/>
      <c r="BG61" s="9"/>
      <c r="BH61" s="9"/>
      <c r="BI61" s="9"/>
      <c r="BK61" s="9"/>
      <c r="BL61" s="9"/>
      <c r="BM61" s="9"/>
      <c r="BN61" s="9"/>
      <c r="BO61" s="9"/>
      <c r="BP61" s="9"/>
      <c r="BQ61" s="9"/>
      <c r="BR61" s="9"/>
      <c r="BS61" s="9"/>
    </row>
    <row r="62" spans="1:71" ht="15" customHeight="1" x14ac:dyDescent="0.25">
      <c r="AP62" s="95"/>
      <c r="AQ62" s="9"/>
      <c r="AR62" s="9"/>
      <c r="AS62" s="9"/>
      <c r="AT62" s="9"/>
      <c r="AU62" s="9"/>
      <c r="AV62" s="9"/>
      <c r="AW62" s="9"/>
      <c r="AX62" s="9"/>
      <c r="AY62" s="9"/>
      <c r="BA62" s="9"/>
      <c r="BB62" s="9"/>
      <c r="BC62" s="9"/>
      <c r="BD62" s="9"/>
      <c r="BE62" s="9"/>
      <c r="BF62" s="9"/>
      <c r="BG62" s="9"/>
      <c r="BH62" s="9"/>
      <c r="BI62" s="9"/>
      <c r="BK62" s="9"/>
      <c r="BL62" s="9"/>
      <c r="BM62" s="9"/>
      <c r="BN62" s="9"/>
      <c r="BO62" s="9"/>
      <c r="BP62" s="9"/>
      <c r="BQ62" s="9"/>
      <c r="BR62" s="9"/>
      <c r="BS62" s="9"/>
    </row>
    <row r="63" spans="1:71" ht="15" customHeight="1" x14ac:dyDescent="0.25">
      <c r="AQ63" s="9"/>
      <c r="AR63" s="9"/>
      <c r="AS63" s="9"/>
      <c r="AT63" s="9"/>
      <c r="AU63" s="9"/>
      <c r="AV63" s="9"/>
      <c r="AW63" s="9"/>
      <c r="AX63" s="9"/>
      <c r="AY63" s="9"/>
      <c r="BA63" s="9"/>
      <c r="BB63" s="9"/>
      <c r="BC63" s="9"/>
      <c r="BD63" s="9"/>
      <c r="BE63" s="9"/>
      <c r="BF63" s="9"/>
      <c r="BG63" s="9"/>
      <c r="BH63" s="9"/>
      <c r="BI63" s="9"/>
      <c r="BK63" s="9"/>
      <c r="BL63" s="9"/>
      <c r="BM63" s="9"/>
      <c r="BN63" s="9"/>
      <c r="BO63" s="9"/>
      <c r="BP63" s="9"/>
      <c r="BQ63" s="9"/>
      <c r="BR63" s="9"/>
      <c r="BS63" s="9"/>
    </row>
    <row r="64" spans="1:71" ht="15" customHeight="1" x14ac:dyDescent="0.25">
      <c r="AQ64" s="9"/>
      <c r="AR64" s="9"/>
      <c r="AS64" s="9"/>
      <c r="AT64" s="9"/>
      <c r="AU64" s="9"/>
      <c r="AV64" s="9"/>
      <c r="AW64" s="9"/>
      <c r="AX64" s="9"/>
      <c r="AY64" s="9"/>
      <c r="BA64" s="9"/>
      <c r="BB64" s="9"/>
      <c r="BC64" s="9"/>
      <c r="BD64" s="9"/>
      <c r="BE64" s="9"/>
      <c r="BF64" s="9"/>
      <c r="BG64" s="9"/>
      <c r="BH64" s="9"/>
      <c r="BI64" s="9"/>
      <c r="BK64" s="9"/>
      <c r="BL64" s="9"/>
      <c r="BM64" s="9"/>
      <c r="BN64" s="9"/>
      <c r="BO64" s="9"/>
      <c r="BP64" s="9"/>
      <c r="BQ64" s="9"/>
      <c r="BR64" s="9"/>
      <c r="BS64" s="9"/>
    </row>
    <row r="65" spans="43:71" ht="15" customHeight="1" x14ac:dyDescent="0.25">
      <c r="AQ65" s="9"/>
      <c r="AR65" s="9"/>
      <c r="AS65" s="9"/>
      <c r="AT65" s="9"/>
      <c r="AU65" s="9"/>
      <c r="AV65" s="9"/>
      <c r="AW65" s="9"/>
      <c r="AX65" s="9"/>
      <c r="AY65" s="9"/>
      <c r="BA65" s="9"/>
      <c r="BB65" s="9"/>
      <c r="BC65" s="9"/>
      <c r="BD65" s="9"/>
      <c r="BE65" s="9"/>
      <c r="BF65" s="9"/>
      <c r="BG65" s="9"/>
      <c r="BH65" s="9"/>
      <c r="BI65" s="9"/>
      <c r="BK65" s="9"/>
      <c r="BL65" s="9"/>
      <c r="BM65" s="9"/>
      <c r="BN65" s="9"/>
      <c r="BO65" s="9"/>
      <c r="BP65" s="9"/>
      <c r="BQ65" s="9"/>
      <c r="BR65" s="9"/>
      <c r="BS65" s="9"/>
    </row>
    <row r="66" spans="43:71" ht="15" customHeight="1" x14ac:dyDescent="0.25">
      <c r="AQ66" s="9"/>
      <c r="AR66" s="9"/>
      <c r="AS66" s="9"/>
      <c r="AT66" s="9"/>
      <c r="AU66" s="9"/>
      <c r="AV66" s="9"/>
      <c r="AW66" s="9"/>
      <c r="AX66" s="9"/>
      <c r="AY66" s="9"/>
      <c r="BA66" s="9"/>
      <c r="BB66" s="9"/>
      <c r="BC66" s="9"/>
      <c r="BD66" s="9"/>
      <c r="BE66" s="9"/>
      <c r="BF66" s="9"/>
      <c r="BG66" s="9"/>
      <c r="BH66" s="9"/>
      <c r="BI66" s="9"/>
      <c r="BK66" s="9"/>
      <c r="BL66" s="9"/>
      <c r="BM66" s="9"/>
      <c r="BN66" s="9"/>
      <c r="BO66" s="9"/>
      <c r="BP66" s="9"/>
      <c r="BQ66" s="9"/>
      <c r="BR66" s="9"/>
      <c r="BS66" s="9"/>
    </row>
    <row r="67" spans="43:71" ht="15" customHeight="1" x14ac:dyDescent="0.25">
      <c r="AQ67" s="9"/>
      <c r="AR67" s="9"/>
      <c r="AS67" s="9"/>
      <c r="AT67" s="9"/>
      <c r="AU67" s="9"/>
      <c r="AV67" s="9"/>
      <c r="AW67" s="9"/>
      <c r="AX67" s="9"/>
      <c r="AY67" s="9"/>
      <c r="BA67" s="9"/>
      <c r="BB67" s="9"/>
      <c r="BC67" s="9"/>
      <c r="BD67" s="9"/>
      <c r="BE67" s="9"/>
      <c r="BF67" s="9"/>
      <c r="BG67" s="9"/>
      <c r="BH67" s="9"/>
      <c r="BI67" s="9"/>
      <c r="BK67" s="9"/>
      <c r="BL67" s="9"/>
      <c r="BM67" s="9"/>
      <c r="BN67" s="9"/>
      <c r="BO67" s="9"/>
      <c r="BP67" s="9"/>
      <c r="BQ67" s="9"/>
      <c r="BR67" s="9"/>
      <c r="BS67" s="9"/>
    </row>
    <row r="68" spans="43:71" ht="15" customHeight="1" x14ac:dyDescent="0.25">
      <c r="AQ68" s="9"/>
      <c r="AR68" s="9"/>
      <c r="AS68" s="9"/>
      <c r="AT68" s="9"/>
      <c r="AU68" s="9"/>
      <c r="AV68" s="9"/>
      <c r="AW68" s="9"/>
      <c r="AX68" s="9"/>
      <c r="AY68" s="9"/>
      <c r="BA68" s="9"/>
      <c r="BB68" s="9"/>
      <c r="BC68" s="9"/>
      <c r="BD68" s="9"/>
      <c r="BE68" s="9"/>
      <c r="BF68" s="9"/>
      <c r="BG68" s="9"/>
      <c r="BH68" s="9"/>
      <c r="BI68" s="9"/>
      <c r="BK68" s="9"/>
      <c r="BL68" s="9"/>
      <c r="BM68" s="9"/>
      <c r="BN68" s="9"/>
      <c r="BO68" s="9"/>
      <c r="BP68" s="9"/>
      <c r="BQ68" s="9"/>
      <c r="BR68" s="9"/>
      <c r="BS68" s="9"/>
    </row>
  </sheetData>
  <mergeCells count="19">
    <mergeCell ref="A5:K5"/>
    <mergeCell ref="A8:B8"/>
    <mergeCell ref="C6:C7"/>
    <mergeCell ref="A2:K2"/>
    <mergeCell ref="A3:K3"/>
    <mergeCell ref="A4:K4"/>
    <mergeCell ref="H6:H7"/>
    <mergeCell ref="A6:A7"/>
    <mergeCell ref="B6:B7"/>
    <mergeCell ref="E6:E7"/>
    <mergeCell ref="F6:G6"/>
    <mergeCell ref="D6:D7"/>
    <mergeCell ref="I6:K6"/>
    <mergeCell ref="BK6:BS6"/>
    <mergeCell ref="M6:U6"/>
    <mergeCell ref="W6:AE6"/>
    <mergeCell ref="AG6:AO6"/>
    <mergeCell ref="AQ6:AY6"/>
    <mergeCell ref="BA6:BI6"/>
  </mergeCells>
  <pageMargins left="0.7" right="0.7" top="0.75" bottom="0.75" header="0" footer="0"/>
  <pageSetup scale="60" orientation="landscape" r:id="rId1"/>
  <ignoredErrors>
    <ignoredError sqref="R16:R17 U17 I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60"/>
  <sheetViews>
    <sheetView topLeftCell="A4" zoomScale="50" zoomScaleNormal="50" workbookViewId="0">
      <pane xSplit="2" ySplit="4" topLeftCell="C11" activePane="bottomRight" state="frozen"/>
      <selection activeCell="A4" sqref="A4"/>
      <selection pane="topRight" activeCell="C4" sqref="C4"/>
      <selection pane="bottomLeft" activeCell="A8" sqref="A8"/>
      <selection pane="bottomRight" activeCell="A9" sqref="A9:B17"/>
    </sheetView>
  </sheetViews>
  <sheetFormatPr defaultColWidth="14.42578125" defaultRowHeight="46.9" customHeight="1" outlineLevelCol="2" x14ac:dyDescent="0.25"/>
  <cols>
    <col min="1" max="1" width="13.85546875" style="9" customWidth="1"/>
    <col min="2" max="2" width="30.7109375" style="9" customWidth="1"/>
    <col min="3" max="3" width="51.7109375" style="9" customWidth="1"/>
    <col min="4" max="4" width="41.5703125" style="9" customWidth="1"/>
    <col min="5" max="5" width="22.5703125" style="9" customWidth="1"/>
    <col min="6" max="6" width="9.28515625" style="9" customWidth="1"/>
    <col min="7" max="7" width="11.140625" style="9" customWidth="1"/>
    <col min="8" max="8" width="21.140625" style="9" customWidth="1"/>
    <col min="9" max="9" width="23.5703125" style="9" customWidth="1"/>
    <col min="10" max="10" width="17.85546875" style="9" customWidth="1"/>
    <col min="11" max="11" width="20.28515625" style="9" customWidth="1"/>
    <col min="12" max="12" width="14.42578125" style="9" customWidth="1"/>
    <col min="13" max="13" width="14.28515625" style="9" customWidth="1" outlineLevel="2"/>
    <col min="14" max="14" width="11.85546875" style="9" customWidth="1" outlineLevel="2"/>
    <col min="15" max="15" width="14" style="9" customWidth="1" outlineLevel="2"/>
    <col min="16" max="16" width="14.42578125" style="9" customWidth="1" outlineLevel="2"/>
    <col min="17" max="17" width="14.140625" style="9" customWidth="1" outlineLevel="1"/>
    <col min="18" max="21" width="10.28515625" style="9" customWidth="1" outlineLevel="1"/>
    <col min="22" max="22" width="6.85546875" style="9" customWidth="1"/>
    <col min="23" max="23" width="13.7109375" style="9" customWidth="1" outlineLevel="2"/>
    <col min="24" max="24" width="14.7109375" style="9" customWidth="1" outlineLevel="2"/>
    <col min="25" max="25" width="15.7109375" style="9" customWidth="1" outlineLevel="2"/>
    <col min="26" max="26" width="9" style="9" customWidth="1" outlineLevel="2"/>
    <col min="27" max="27" width="15.42578125" style="9" customWidth="1" outlineLevel="1"/>
    <col min="28" max="28" width="11.7109375" style="9" customWidth="1" outlineLevel="1"/>
    <col min="29" max="30" width="9" style="9" customWidth="1" outlineLevel="1"/>
    <col min="31" max="31" width="15.140625" style="9" customWidth="1" outlineLevel="1"/>
    <col min="32" max="32" width="8.85546875" style="9" customWidth="1"/>
    <col min="33" max="33" width="15.28515625" style="9" customWidth="1" outlineLevel="2"/>
    <col min="34" max="34" width="15.140625" style="9" customWidth="1" outlineLevel="2"/>
    <col min="35" max="36" width="9" style="9" customWidth="1" outlineLevel="2"/>
    <col min="37" max="37" width="13.7109375" style="9" customWidth="1" outlineLevel="1"/>
    <col min="38" max="38" width="11.7109375" style="9" customWidth="1" outlineLevel="1"/>
    <col min="39" max="39" width="9" style="9" customWidth="1" outlineLevel="1"/>
    <col min="40" max="40" width="13.5703125" style="9" customWidth="1" outlineLevel="1"/>
    <col min="41" max="41" width="13.7109375" style="9" customWidth="1" outlineLevel="1"/>
    <col min="42" max="42" width="8.85546875" customWidth="1"/>
    <col min="43" max="43" width="15.85546875" customWidth="1" outlineLevel="2"/>
    <col min="44" max="44" width="11.140625" customWidth="1" outlineLevel="2"/>
    <col min="45" max="45" width="15.28515625" customWidth="1" outlineLevel="2"/>
    <col min="46" max="46" width="14.42578125" customWidth="1" outlineLevel="2"/>
    <col min="47" max="47" width="19.7109375" customWidth="1" outlineLevel="1"/>
    <col min="48" max="48" width="17.85546875" customWidth="1" outlineLevel="1"/>
    <col min="49" max="50" width="9" customWidth="1" outlineLevel="1"/>
    <col min="51" max="51" width="11.28515625" customWidth="1" outlineLevel="1"/>
    <col min="52" max="52" width="14.42578125" style="9"/>
    <col min="53" max="53" width="16.140625" customWidth="1" outlineLevel="1"/>
    <col min="54" max="54" width="14.7109375" customWidth="1" outlineLevel="1"/>
    <col min="55" max="55" width="10" customWidth="1" outlineLevel="1"/>
    <col min="56" max="56" width="14.7109375" customWidth="1" outlineLevel="1"/>
    <col min="57" max="57" width="15.5703125" customWidth="1"/>
    <col min="58" max="58" width="13.42578125" customWidth="1"/>
    <col min="59" max="61" width="10" customWidth="1"/>
    <col min="62" max="62" width="14.42578125" style="9"/>
    <col min="63" max="63" width="15.28515625" customWidth="1" outlineLevel="1"/>
    <col min="64" max="64" width="13.5703125" customWidth="1" outlineLevel="1"/>
    <col min="65" max="65" width="10" customWidth="1" outlineLevel="1"/>
    <col min="66" max="66" width="13.28515625" customWidth="1" outlineLevel="1"/>
    <col min="67" max="67" width="12.5703125" customWidth="1"/>
    <col min="68" max="68" width="14.28515625" customWidth="1"/>
    <col min="69" max="69" width="10" customWidth="1"/>
    <col min="70" max="70" width="15.7109375" customWidth="1"/>
    <col min="71" max="71" width="13.140625" customWidth="1"/>
    <col min="72" max="16384" width="14.42578125" style="9"/>
  </cols>
  <sheetData>
    <row r="1" spans="1:71" ht="46.9" customHeight="1" thickBot="1" x14ac:dyDescent="0.3">
      <c r="A1" s="7"/>
      <c r="B1" s="8" t="s">
        <v>0</v>
      </c>
      <c r="C1" s="8"/>
      <c r="D1" s="8"/>
    </row>
    <row r="2" spans="1:71" ht="46.9" customHeight="1" thickBot="1" x14ac:dyDescent="0.3">
      <c r="A2" s="344" t="s">
        <v>12</v>
      </c>
      <c r="B2" s="345"/>
      <c r="C2" s="345"/>
      <c r="D2" s="345"/>
      <c r="E2" s="345"/>
      <c r="F2" s="345"/>
      <c r="G2" s="345"/>
      <c r="H2" s="345"/>
      <c r="I2" s="345"/>
      <c r="J2" s="345"/>
      <c r="K2" s="346"/>
      <c r="P2" s="51"/>
    </row>
    <row r="3" spans="1:71" ht="46.9" customHeight="1" thickBot="1" x14ac:dyDescent="0.3">
      <c r="A3" s="347" t="s">
        <v>13</v>
      </c>
      <c r="B3" s="348"/>
      <c r="C3" s="348"/>
      <c r="D3" s="348"/>
      <c r="E3" s="348"/>
      <c r="F3" s="348"/>
      <c r="G3" s="348"/>
      <c r="H3" s="348"/>
      <c r="I3" s="348"/>
      <c r="J3" s="348"/>
      <c r="K3" s="349"/>
      <c r="P3" s="53"/>
      <c r="AK3" s="52">
        <f>AK8+'[1]Politika 2'!AS9+'[1]Politika 3'!AS9</f>
        <v>1612019.4000000001</v>
      </c>
      <c r="AT3" s="54">
        <f>AU8+'[1]Politika 2'!BE9+'[1]Politika 3'!BE9</f>
        <v>1831763.6</v>
      </c>
      <c r="BE3" s="54">
        <f>BE8+'[1]Politika 2'!BQ9+'[1]Politika 3'!BQ9</f>
        <v>2048519.8</v>
      </c>
      <c r="BO3" s="54">
        <f>BO8+'[1]Politika 2'!CC9+'[1]Politika 3'!CC9</f>
        <v>91284.2</v>
      </c>
    </row>
    <row r="4" spans="1:71" ht="46.9" customHeight="1" thickBot="1" x14ac:dyDescent="0.3">
      <c r="A4" s="350" t="s">
        <v>151</v>
      </c>
      <c r="B4" s="348"/>
      <c r="C4" s="348"/>
      <c r="D4" s="348"/>
      <c r="E4" s="348"/>
      <c r="F4" s="348"/>
      <c r="G4" s="348"/>
      <c r="H4" s="348"/>
      <c r="I4" s="348"/>
      <c r="J4" s="348"/>
      <c r="K4" s="349"/>
      <c r="Q4" s="52"/>
    </row>
    <row r="5" spans="1:71" ht="46.9" customHeight="1" thickBot="1" x14ac:dyDescent="0.3">
      <c r="A5" s="360" t="s">
        <v>9</v>
      </c>
      <c r="B5" s="361"/>
      <c r="C5" s="361"/>
      <c r="D5" s="361"/>
      <c r="E5" s="361"/>
      <c r="F5" s="361"/>
      <c r="G5" s="361"/>
      <c r="H5" s="361"/>
      <c r="I5" s="361"/>
      <c r="J5" s="361"/>
      <c r="K5" s="362"/>
      <c r="Q5" s="55"/>
    </row>
    <row r="6" spans="1:71" ht="46.9" customHeight="1" thickBot="1" x14ac:dyDescent="0.3">
      <c r="A6" s="352" t="s">
        <v>1</v>
      </c>
      <c r="B6" s="352"/>
      <c r="C6" s="343" t="s">
        <v>17</v>
      </c>
      <c r="D6" s="343" t="s">
        <v>18</v>
      </c>
      <c r="E6" s="363" t="s">
        <v>2</v>
      </c>
      <c r="F6" s="355" t="s">
        <v>15</v>
      </c>
      <c r="G6" s="356"/>
      <c r="H6" s="343" t="s">
        <v>16</v>
      </c>
      <c r="I6" s="357" t="s">
        <v>3</v>
      </c>
      <c r="J6" s="358"/>
      <c r="K6" s="359"/>
      <c r="M6" s="328" t="s">
        <v>47</v>
      </c>
      <c r="N6" s="329"/>
      <c r="O6" s="329"/>
      <c r="P6" s="329"/>
      <c r="Q6" s="329"/>
      <c r="R6" s="329"/>
      <c r="S6" s="329"/>
      <c r="T6" s="329"/>
      <c r="U6" s="330"/>
      <c r="W6" s="331" t="s">
        <v>48</v>
      </c>
      <c r="X6" s="332"/>
      <c r="Y6" s="332"/>
      <c r="Z6" s="332"/>
      <c r="AA6" s="332"/>
      <c r="AB6" s="332"/>
      <c r="AC6" s="332"/>
      <c r="AD6" s="332"/>
      <c r="AE6" s="333"/>
      <c r="AG6" s="334" t="s">
        <v>49</v>
      </c>
      <c r="AH6" s="335"/>
      <c r="AI6" s="335"/>
      <c r="AJ6" s="335"/>
      <c r="AK6" s="335"/>
      <c r="AL6" s="335"/>
      <c r="AM6" s="335"/>
      <c r="AN6" s="335"/>
      <c r="AO6" s="336"/>
      <c r="AQ6" s="337" t="s">
        <v>50</v>
      </c>
      <c r="AR6" s="338"/>
      <c r="AS6" s="338"/>
      <c r="AT6" s="338"/>
      <c r="AU6" s="338"/>
      <c r="AV6" s="338"/>
      <c r="AW6" s="338"/>
      <c r="AX6" s="338"/>
      <c r="AY6" s="339"/>
      <c r="BA6" s="325" t="s">
        <v>51</v>
      </c>
      <c r="BB6" s="326"/>
      <c r="BC6" s="326"/>
      <c r="BD6" s="326"/>
      <c r="BE6" s="326"/>
      <c r="BF6" s="326"/>
      <c r="BG6" s="326"/>
      <c r="BH6" s="326"/>
      <c r="BI6" s="327"/>
      <c r="BK6" s="325" t="s">
        <v>52</v>
      </c>
      <c r="BL6" s="326"/>
      <c r="BM6" s="326"/>
      <c r="BN6" s="326"/>
      <c r="BO6" s="326"/>
      <c r="BP6" s="326"/>
      <c r="BQ6" s="326"/>
      <c r="BR6" s="326"/>
      <c r="BS6" s="327"/>
    </row>
    <row r="7" spans="1:71" ht="46.9" customHeight="1" thickBot="1" x14ac:dyDescent="0.3">
      <c r="A7" s="321"/>
      <c r="B7" s="321"/>
      <c r="C7" s="321"/>
      <c r="D7" s="351"/>
      <c r="E7" s="364"/>
      <c r="F7" s="1" t="s">
        <v>5</v>
      </c>
      <c r="G7" s="2" t="s">
        <v>6</v>
      </c>
      <c r="H7" s="351"/>
      <c r="I7" s="3" t="s">
        <v>10</v>
      </c>
      <c r="J7" s="3" t="s">
        <v>7</v>
      </c>
      <c r="K7" s="3" t="s">
        <v>4</v>
      </c>
      <c r="M7" s="56" t="s">
        <v>37</v>
      </c>
      <c r="N7" s="56" t="s">
        <v>38</v>
      </c>
      <c r="O7" s="56" t="s">
        <v>72</v>
      </c>
      <c r="P7" s="56" t="s">
        <v>40</v>
      </c>
      <c r="Q7" s="56" t="s">
        <v>41</v>
      </c>
      <c r="R7" s="56" t="s">
        <v>42</v>
      </c>
      <c r="S7" s="56" t="s">
        <v>43</v>
      </c>
      <c r="T7" s="57" t="s">
        <v>44</v>
      </c>
      <c r="U7" s="57" t="s">
        <v>45</v>
      </c>
      <c r="W7" s="194" t="s">
        <v>37</v>
      </c>
      <c r="X7" s="194" t="s">
        <v>38</v>
      </c>
      <c r="Y7" s="194" t="s">
        <v>90</v>
      </c>
      <c r="Z7" s="194" t="s">
        <v>40</v>
      </c>
      <c r="AA7" s="194" t="s">
        <v>41</v>
      </c>
      <c r="AB7" s="194" t="s">
        <v>42</v>
      </c>
      <c r="AC7" s="194" t="s">
        <v>46</v>
      </c>
      <c r="AD7" s="194" t="s">
        <v>44</v>
      </c>
      <c r="AE7" s="194" t="s">
        <v>45</v>
      </c>
      <c r="AG7" s="60" t="s">
        <v>37</v>
      </c>
      <c r="AH7" s="60" t="s">
        <v>38</v>
      </c>
      <c r="AI7" s="60" t="s">
        <v>39</v>
      </c>
      <c r="AJ7" s="60" t="s">
        <v>40</v>
      </c>
      <c r="AK7" s="60" t="s">
        <v>41</v>
      </c>
      <c r="AL7" s="60" t="s">
        <v>42</v>
      </c>
      <c r="AM7" s="60" t="s">
        <v>43</v>
      </c>
      <c r="AN7" s="60" t="s">
        <v>44</v>
      </c>
      <c r="AO7" s="60" t="s">
        <v>45</v>
      </c>
      <c r="AQ7" s="61" t="s">
        <v>37</v>
      </c>
      <c r="AR7" s="61" t="s">
        <v>38</v>
      </c>
      <c r="AS7" s="61" t="s">
        <v>39</v>
      </c>
      <c r="AT7" s="61" t="s">
        <v>40</v>
      </c>
      <c r="AU7" s="61" t="s">
        <v>41</v>
      </c>
      <c r="AV7" s="61" t="s">
        <v>42</v>
      </c>
      <c r="AW7" s="61" t="s">
        <v>43</v>
      </c>
      <c r="AX7" s="61" t="s">
        <v>44</v>
      </c>
      <c r="AY7" s="61" t="s">
        <v>45</v>
      </c>
      <c r="BA7" s="62" t="s">
        <v>37</v>
      </c>
      <c r="BB7" s="62" t="s">
        <v>38</v>
      </c>
      <c r="BC7" s="62" t="s">
        <v>39</v>
      </c>
      <c r="BD7" s="62" t="s">
        <v>40</v>
      </c>
      <c r="BE7" s="62" t="s">
        <v>41</v>
      </c>
      <c r="BF7" s="62" t="s">
        <v>42</v>
      </c>
      <c r="BG7" s="62" t="s">
        <v>43</v>
      </c>
      <c r="BH7" s="62" t="s">
        <v>44</v>
      </c>
      <c r="BI7" s="62" t="s">
        <v>45</v>
      </c>
      <c r="BK7" s="111" t="s">
        <v>37</v>
      </c>
      <c r="BL7" s="111" t="s">
        <v>38</v>
      </c>
      <c r="BM7" s="111" t="s">
        <v>39</v>
      </c>
      <c r="BN7" s="111" t="s">
        <v>40</v>
      </c>
      <c r="BO7" s="111" t="s">
        <v>41</v>
      </c>
      <c r="BP7" s="111" t="s">
        <v>42</v>
      </c>
      <c r="BQ7" s="111" t="s">
        <v>43</v>
      </c>
      <c r="BR7" s="111" t="s">
        <v>44</v>
      </c>
      <c r="BS7" s="111" t="s">
        <v>45</v>
      </c>
    </row>
    <row r="8" spans="1:71" ht="46.9" customHeight="1" thickBot="1" x14ac:dyDescent="0.3">
      <c r="A8" s="319" t="s">
        <v>11</v>
      </c>
      <c r="B8" s="320"/>
      <c r="C8" s="17"/>
      <c r="D8" s="17"/>
      <c r="E8" s="13"/>
      <c r="F8" s="14"/>
      <c r="G8" s="15"/>
      <c r="H8" s="155">
        <f>H9+H13</f>
        <v>446640.2</v>
      </c>
      <c r="I8" s="155">
        <f>I9+I13</f>
        <v>144201</v>
      </c>
      <c r="J8" s="155">
        <f>J9+J13</f>
        <v>195669.6</v>
      </c>
      <c r="K8" s="155">
        <f>K9+K13</f>
        <v>106769.60000000001</v>
      </c>
      <c r="M8" s="63">
        <f>M9+M13</f>
        <v>999.99999999999989</v>
      </c>
      <c r="N8" s="64">
        <f t="shared" ref="N8:U8" si="0">N9+N13</f>
        <v>48800</v>
      </c>
      <c r="O8" s="64">
        <f t="shared" si="0"/>
        <v>0</v>
      </c>
      <c r="P8" s="64">
        <f t="shared" si="0"/>
        <v>2500</v>
      </c>
      <c r="Q8" s="64">
        <f t="shared" si="0"/>
        <v>52300</v>
      </c>
      <c r="R8" s="64">
        <f t="shared" si="0"/>
        <v>19300</v>
      </c>
      <c r="S8" s="64">
        <f t="shared" si="0"/>
        <v>0</v>
      </c>
      <c r="T8" s="64">
        <f t="shared" si="0"/>
        <v>23300</v>
      </c>
      <c r="U8" s="179">
        <f t="shared" si="0"/>
        <v>9700</v>
      </c>
      <c r="W8" s="63">
        <f>W9+W13</f>
        <v>7000</v>
      </c>
      <c r="X8" s="64">
        <f t="shared" ref="X8:AE8" si="1">X9+X13</f>
        <v>64210</v>
      </c>
      <c r="Y8" s="64">
        <f t="shared" si="1"/>
        <v>450</v>
      </c>
      <c r="Z8" s="64">
        <f t="shared" si="1"/>
        <v>2500</v>
      </c>
      <c r="AA8" s="64">
        <f t="shared" si="1"/>
        <v>74160</v>
      </c>
      <c r="AB8" s="64">
        <f t="shared" si="1"/>
        <v>25300</v>
      </c>
      <c r="AC8" s="64">
        <f t="shared" si="1"/>
        <v>0</v>
      </c>
      <c r="AD8" s="64">
        <f t="shared" si="1"/>
        <v>31005</v>
      </c>
      <c r="AE8" s="179">
        <f t="shared" si="1"/>
        <v>17855</v>
      </c>
      <c r="AF8" s="180"/>
      <c r="AG8" s="63">
        <f>AG9+AG13</f>
        <v>5400</v>
      </c>
      <c r="AH8" s="64">
        <f t="shared" ref="AH8:AO8" si="2">AH9+AH13</f>
        <v>69410</v>
      </c>
      <c r="AI8" s="64">
        <f t="shared" si="2"/>
        <v>1950</v>
      </c>
      <c r="AJ8" s="64">
        <f t="shared" si="2"/>
        <v>3100</v>
      </c>
      <c r="AK8" s="64">
        <f t="shared" si="2"/>
        <v>79860</v>
      </c>
      <c r="AL8" s="64">
        <f t="shared" si="2"/>
        <v>23700</v>
      </c>
      <c r="AM8" s="64">
        <f t="shared" si="2"/>
        <v>0</v>
      </c>
      <c r="AN8" s="64">
        <f t="shared" si="2"/>
        <v>33055</v>
      </c>
      <c r="AO8" s="179">
        <f t="shared" si="2"/>
        <v>13255</v>
      </c>
      <c r="AQ8" s="63">
        <f>AQ9+AQ13</f>
        <v>5400</v>
      </c>
      <c r="AR8" s="64">
        <f t="shared" ref="AR8:AY8" si="3">AR9+AR13</f>
        <v>72390</v>
      </c>
      <c r="AS8" s="64">
        <f t="shared" si="3"/>
        <v>0</v>
      </c>
      <c r="AT8" s="64">
        <f t="shared" si="3"/>
        <v>2500</v>
      </c>
      <c r="AU8" s="64">
        <f t="shared" si="3"/>
        <v>80290</v>
      </c>
      <c r="AV8" s="64">
        <f t="shared" si="3"/>
        <v>23700</v>
      </c>
      <c r="AW8" s="64">
        <f t="shared" si="3"/>
        <v>0</v>
      </c>
      <c r="AX8" s="64">
        <f t="shared" si="3"/>
        <v>7555</v>
      </c>
      <c r="AY8" s="179">
        <f t="shared" si="3"/>
        <v>22095</v>
      </c>
      <c r="BA8" s="63">
        <f>BA9+BA13</f>
        <v>5400</v>
      </c>
      <c r="BB8" s="64">
        <f t="shared" ref="BB8:BI8" si="4">BB9+BB13</f>
        <v>75846</v>
      </c>
      <c r="BC8" s="64">
        <f t="shared" si="4"/>
        <v>0</v>
      </c>
      <c r="BD8" s="64">
        <f t="shared" si="4"/>
        <v>2500</v>
      </c>
      <c r="BE8" s="64">
        <f t="shared" si="4"/>
        <v>83746</v>
      </c>
      <c r="BF8" s="64">
        <f t="shared" si="4"/>
        <v>23700</v>
      </c>
      <c r="BG8" s="64">
        <f t="shared" si="4"/>
        <v>0</v>
      </c>
      <c r="BH8" s="64">
        <f t="shared" si="4"/>
        <v>36223</v>
      </c>
      <c r="BI8" s="179">
        <f t="shared" si="4"/>
        <v>23823</v>
      </c>
      <c r="BK8" s="63">
        <f>BK9+BK13</f>
        <v>8650</v>
      </c>
      <c r="BL8" s="64">
        <f t="shared" ref="BL8:BS8" si="5">BL9+BL13</f>
        <v>80134.2</v>
      </c>
      <c r="BM8" s="64">
        <f t="shared" si="5"/>
        <v>0</v>
      </c>
      <c r="BN8" s="64">
        <f t="shared" si="5"/>
        <v>2500</v>
      </c>
      <c r="BO8" s="64">
        <f t="shared" si="5"/>
        <v>91284.2</v>
      </c>
      <c r="BP8" s="64">
        <f t="shared" si="5"/>
        <v>9201</v>
      </c>
      <c r="BQ8" s="64">
        <f t="shared" si="5"/>
        <v>0</v>
      </c>
      <c r="BR8" s="64">
        <f t="shared" si="5"/>
        <v>37591.599999999999</v>
      </c>
      <c r="BS8" s="179">
        <f t="shared" si="5"/>
        <v>25191.599999999999</v>
      </c>
    </row>
    <row r="9" spans="1:71" ht="129" customHeight="1" thickBot="1" x14ac:dyDescent="0.3">
      <c r="A9" s="10" t="s">
        <v>153</v>
      </c>
      <c r="B9" s="159" t="s">
        <v>152</v>
      </c>
      <c r="C9" s="28"/>
      <c r="D9" s="28"/>
      <c r="E9" s="10" t="s">
        <v>95</v>
      </c>
      <c r="F9" s="10">
        <v>2025</v>
      </c>
      <c r="G9" s="12">
        <v>2030</v>
      </c>
      <c r="H9" s="135">
        <f>SUM(H10:H12)</f>
        <v>338999.2</v>
      </c>
      <c r="I9" s="135">
        <f>SUM(I10:I12)</f>
        <v>115800.00000000001</v>
      </c>
      <c r="J9" s="135">
        <f>SUM(J10:J12)</f>
        <v>159449.60000000001</v>
      </c>
      <c r="K9" s="135">
        <f>SUM(K10:K12)</f>
        <v>63749.599999999999</v>
      </c>
      <c r="M9" s="123">
        <f t="shared" ref="M9:U9" si="6">SUM(M10:M12)</f>
        <v>999.99999999999989</v>
      </c>
      <c r="N9" s="124">
        <f t="shared" si="6"/>
        <v>48800</v>
      </c>
      <c r="O9" s="124">
        <f t="shared" si="6"/>
        <v>0</v>
      </c>
      <c r="P9" s="124">
        <f t="shared" si="6"/>
        <v>0</v>
      </c>
      <c r="Q9" s="124">
        <f t="shared" si="6"/>
        <v>49800</v>
      </c>
      <c r="R9" s="124">
        <f t="shared" si="6"/>
        <v>19300</v>
      </c>
      <c r="S9" s="124">
        <f t="shared" si="6"/>
        <v>0</v>
      </c>
      <c r="T9" s="125">
        <f t="shared" si="6"/>
        <v>23300</v>
      </c>
      <c r="U9" s="126">
        <f t="shared" si="6"/>
        <v>7200</v>
      </c>
      <c r="W9" s="123">
        <f t="shared" ref="W9:AE9" si="7">SUM(W10:W12)</f>
        <v>999.99999999999989</v>
      </c>
      <c r="X9" s="124">
        <f t="shared" si="7"/>
        <v>50800</v>
      </c>
      <c r="Y9" s="124">
        <f t="shared" si="7"/>
        <v>450</v>
      </c>
      <c r="Z9" s="124">
        <f t="shared" si="7"/>
        <v>0</v>
      </c>
      <c r="AA9" s="124">
        <f t="shared" si="7"/>
        <v>52250</v>
      </c>
      <c r="AB9" s="124">
        <f t="shared" si="7"/>
        <v>19300</v>
      </c>
      <c r="AC9" s="124">
        <f t="shared" si="7"/>
        <v>0</v>
      </c>
      <c r="AD9" s="125">
        <f t="shared" si="7"/>
        <v>24300</v>
      </c>
      <c r="AE9" s="126">
        <f t="shared" si="7"/>
        <v>8650</v>
      </c>
      <c r="AG9" s="123">
        <f t="shared" ref="AG9:AN9" si="8">SUM(AG10:AG12)</f>
        <v>999.99999999999989</v>
      </c>
      <c r="AH9" s="124">
        <f t="shared" si="8"/>
        <v>53200</v>
      </c>
      <c r="AI9" s="124">
        <f t="shared" si="8"/>
        <v>450</v>
      </c>
      <c r="AJ9" s="124">
        <f t="shared" si="8"/>
        <v>0</v>
      </c>
      <c r="AK9" s="124">
        <f t="shared" si="8"/>
        <v>54650</v>
      </c>
      <c r="AL9" s="124">
        <f t="shared" si="8"/>
        <v>19300</v>
      </c>
      <c r="AM9" s="124">
        <f t="shared" si="8"/>
        <v>0</v>
      </c>
      <c r="AN9" s="125">
        <f t="shared" si="8"/>
        <v>25500</v>
      </c>
      <c r="AO9" s="126"/>
      <c r="AQ9" s="123">
        <f t="shared" ref="AQ9:AW9" si="9">SUM(AQ10:AQ12)</f>
        <v>999.99999999999989</v>
      </c>
      <c r="AR9" s="124">
        <f t="shared" si="9"/>
        <v>56080</v>
      </c>
      <c r="AS9" s="124">
        <f t="shared" si="9"/>
        <v>0</v>
      </c>
      <c r="AT9" s="124">
        <f t="shared" si="9"/>
        <v>0</v>
      </c>
      <c r="AU9" s="124">
        <f t="shared" si="9"/>
        <v>57080</v>
      </c>
      <c r="AV9" s="124">
        <f t="shared" si="9"/>
        <v>19300</v>
      </c>
      <c r="AW9" s="124">
        <f t="shared" si="9"/>
        <v>0</v>
      </c>
      <c r="AX9" s="125"/>
      <c r="AY9" s="126">
        <f>SUM(AY10:AY12)</f>
        <v>10840</v>
      </c>
      <c r="BA9" s="123">
        <f t="shared" ref="BA9:BF9" si="10">SUM(BA10:BA12)</f>
        <v>999.99999999999989</v>
      </c>
      <c r="BB9" s="124">
        <f t="shared" si="10"/>
        <v>59536</v>
      </c>
      <c r="BC9" s="124">
        <f t="shared" si="10"/>
        <v>0</v>
      </c>
      <c r="BD9" s="124">
        <f t="shared" si="10"/>
        <v>0</v>
      </c>
      <c r="BE9" s="124">
        <f t="shared" si="10"/>
        <v>60536</v>
      </c>
      <c r="BF9" s="124">
        <f t="shared" si="10"/>
        <v>19300</v>
      </c>
      <c r="BG9" s="124"/>
      <c r="BH9" s="125">
        <f>SUM(BH10:BH12)</f>
        <v>28668</v>
      </c>
      <c r="BI9" s="126">
        <f>SUM(BI10:BI12)</f>
        <v>12568</v>
      </c>
      <c r="BK9" s="123">
        <f>SUM(BK10:BK12)</f>
        <v>999.99999999999989</v>
      </c>
      <c r="BL9" s="124">
        <f>SUM(BL10:BL12)</f>
        <v>63683.199999999997</v>
      </c>
      <c r="BM9" s="124">
        <f>SUM(BM10:BM12)</f>
        <v>0</v>
      </c>
      <c r="BN9" s="124">
        <f>SUM(BN10:BN12)</f>
        <v>0</v>
      </c>
      <c r="BO9" s="124">
        <f>SUM(BO10:BO12)</f>
        <v>64683.199999999997</v>
      </c>
      <c r="BP9" s="124"/>
      <c r="BQ9" s="124">
        <f>SUM(BQ10:BQ12)</f>
        <v>0</v>
      </c>
      <c r="BR9" s="125">
        <f>SUM(BR10:BR12)</f>
        <v>30741.599999999999</v>
      </c>
      <c r="BS9" s="126">
        <f>SUM(BS10:BS12)</f>
        <v>14641.6</v>
      </c>
    </row>
    <row r="10" spans="1:71" ht="287.45" customHeight="1" x14ac:dyDescent="0.25">
      <c r="A10" s="4" t="s">
        <v>155</v>
      </c>
      <c r="B10" s="160" t="s">
        <v>154</v>
      </c>
      <c r="C10" s="6" t="s">
        <v>77</v>
      </c>
      <c r="D10" s="6" t="s">
        <v>78</v>
      </c>
      <c r="E10" s="279" t="s">
        <v>76</v>
      </c>
      <c r="F10" s="44">
        <v>2025</v>
      </c>
      <c r="G10" s="44">
        <v>2030</v>
      </c>
      <c r="H10" s="134">
        <f t="shared" ref="H10:I12" si="11">Q10+AA10+AK10+AU10+BE10+BO10</f>
        <v>18736.363636363636</v>
      </c>
      <c r="I10" s="134">
        <f t="shared" si="11"/>
        <v>4636.363636363636</v>
      </c>
      <c r="J10" s="134">
        <f>S10+T10+AC10+AD10+AM10+AN10+AW10+AX10+BG10+BH10+BQ10+BR10</f>
        <v>0</v>
      </c>
      <c r="K10" s="134">
        <f>U10+AE10+AO10+AY10+BI10+BS10</f>
        <v>14100</v>
      </c>
      <c r="M10" s="70">
        <f>5*170/22*20</f>
        <v>772.72727272727263</v>
      </c>
      <c r="N10" s="71">
        <f>10000*10/1000+100+2000</f>
        <v>2200</v>
      </c>
      <c r="O10" s="71"/>
      <c r="P10" s="71"/>
      <c r="Q10" s="71">
        <f>SUM(M10:P10)</f>
        <v>2972.7272727272725</v>
      </c>
      <c r="R10" s="71">
        <f>M10</f>
        <v>772.72727272727263</v>
      </c>
      <c r="S10" s="71"/>
      <c r="T10" s="72"/>
      <c r="U10" s="73">
        <f>Q10-R10-S10-T10</f>
        <v>2200</v>
      </c>
      <c r="W10" s="70">
        <f>5*170/22*20</f>
        <v>772.72727272727263</v>
      </c>
      <c r="X10" s="71">
        <f>10000*10/1000+100+2000</f>
        <v>2200</v>
      </c>
      <c r="Y10" s="71">
        <f>5*3*30</f>
        <v>450</v>
      </c>
      <c r="Z10" s="71"/>
      <c r="AA10" s="71">
        <f>SUM(W10:Z10)</f>
        <v>3422.7272727272725</v>
      </c>
      <c r="AB10" s="71">
        <f>W10</f>
        <v>772.72727272727263</v>
      </c>
      <c r="AC10" s="71"/>
      <c r="AD10" s="72"/>
      <c r="AE10" s="73">
        <f>AA10-AB10-AC10-AD10</f>
        <v>2650</v>
      </c>
      <c r="AG10" s="70">
        <f>5*170/22*20</f>
        <v>772.72727272727263</v>
      </c>
      <c r="AH10" s="71">
        <f>10000*10/1000+100+2000</f>
        <v>2200</v>
      </c>
      <c r="AI10" s="71">
        <f>3*5*30</f>
        <v>450</v>
      </c>
      <c r="AJ10" s="71"/>
      <c r="AK10" s="71">
        <f>SUM(AG10:AJ10)</f>
        <v>3422.7272727272725</v>
      </c>
      <c r="AL10" s="71">
        <f>AG10</f>
        <v>772.72727272727263</v>
      </c>
      <c r="AM10" s="71"/>
      <c r="AN10" s="72"/>
      <c r="AO10" s="73">
        <f>AK10-AL10-AM10-AN10</f>
        <v>2650</v>
      </c>
      <c r="AQ10" s="70">
        <f>5*170/22*20</f>
        <v>772.72727272727263</v>
      </c>
      <c r="AR10" s="71">
        <f>10000*10/1000+100+2000</f>
        <v>2200</v>
      </c>
      <c r="AS10" s="71"/>
      <c r="AT10" s="71"/>
      <c r="AU10" s="71">
        <f>SUM(AQ10:AT10)</f>
        <v>2972.7272727272725</v>
      </c>
      <c r="AV10" s="71">
        <f>AQ10</f>
        <v>772.72727272727263</v>
      </c>
      <c r="AW10" s="71"/>
      <c r="AX10" s="72"/>
      <c r="AY10" s="73">
        <f>AU10-AV10-AW10-AX10</f>
        <v>2200</v>
      </c>
      <c r="BA10" s="167">
        <f>5*170/22*20</f>
        <v>772.72727272727263</v>
      </c>
      <c r="BB10" s="168">
        <f>10000*10/1000+100+2000</f>
        <v>2200</v>
      </c>
      <c r="BC10" s="168"/>
      <c r="BD10" s="168"/>
      <c r="BE10" s="168">
        <f>SUM(BA10:BD10)</f>
        <v>2972.7272727272725</v>
      </c>
      <c r="BF10" s="168">
        <f>BA10</f>
        <v>772.72727272727263</v>
      </c>
      <c r="BG10" s="168"/>
      <c r="BH10" s="169"/>
      <c r="BI10" s="170">
        <f>BE10-BF10-BG10-BH10</f>
        <v>2200</v>
      </c>
      <c r="BK10" s="70">
        <f>5*170/22*20</f>
        <v>772.72727272727263</v>
      </c>
      <c r="BL10" s="71">
        <f>10000*10/1000+100+2000</f>
        <v>2200</v>
      </c>
      <c r="BM10" s="71"/>
      <c r="BN10" s="71"/>
      <c r="BO10" s="71">
        <f>SUM(BK10:BN10)</f>
        <v>2972.7272727272725</v>
      </c>
      <c r="BP10" s="71">
        <f>BK10</f>
        <v>772.72727272727263</v>
      </c>
      <c r="BQ10" s="71"/>
      <c r="BR10" s="72"/>
      <c r="BS10" s="73">
        <f>BO10-BP10-BQ10-BR10</f>
        <v>2200</v>
      </c>
    </row>
    <row r="11" spans="1:71" ht="82.15" customHeight="1" x14ac:dyDescent="0.25">
      <c r="A11" s="4" t="s">
        <v>156</v>
      </c>
      <c r="B11" s="112" t="s">
        <v>157</v>
      </c>
      <c r="C11" s="16" t="s">
        <v>79</v>
      </c>
      <c r="D11" s="16" t="s">
        <v>80</v>
      </c>
      <c r="E11" s="133" t="s">
        <v>91</v>
      </c>
      <c r="F11" s="284">
        <v>2025</v>
      </c>
      <c r="G11" s="44">
        <v>2030</v>
      </c>
      <c r="H11" s="134">
        <f t="shared" si="11"/>
        <v>99299.199999999997</v>
      </c>
      <c r="I11" s="134">
        <f t="shared" si="11"/>
        <v>0</v>
      </c>
      <c r="J11" s="134">
        <f>S11+T11+AC11+AD11+AM11+AN11+AW11+AX11+BG11+BH11+BQ11+BR11</f>
        <v>49649.599999999999</v>
      </c>
      <c r="K11" s="134">
        <f>U11+AE11+AO11+AY11+BI11+BS11</f>
        <v>49649.599999999999</v>
      </c>
      <c r="M11" s="74"/>
      <c r="N11" s="113">
        <f>10000</f>
        <v>10000</v>
      </c>
      <c r="O11" s="79"/>
      <c r="P11" s="77"/>
      <c r="Q11" s="71">
        <f>SUM(M11:P11)</f>
        <v>10000</v>
      </c>
      <c r="R11" s="77">
        <v>0</v>
      </c>
      <c r="S11" s="77"/>
      <c r="T11" s="80">
        <f>N11*50%</f>
        <v>5000</v>
      </c>
      <c r="U11" s="73">
        <f>Q11-R11-S11-T11</f>
        <v>5000</v>
      </c>
      <c r="W11" s="74"/>
      <c r="X11" s="113">
        <f>N11*20%+N11</f>
        <v>12000</v>
      </c>
      <c r="Y11" s="79"/>
      <c r="Z11" s="77"/>
      <c r="AA11" s="71">
        <f>SUM(W11:Z11)</f>
        <v>12000</v>
      </c>
      <c r="AB11" s="76">
        <v>0</v>
      </c>
      <c r="AC11" s="80"/>
      <c r="AD11" s="77">
        <f>AA11*50%</f>
        <v>6000</v>
      </c>
      <c r="AE11" s="171">
        <f>AA11-AB11-AC11-AD11</f>
        <v>6000</v>
      </c>
      <c r="AG11" s="74"/>
      <c r="AH11" s="113">
        <f>X11*20%+X11</f>
        <v>14400</v>
      </c>
      <c r="AI11" s="79"/>
      <c r="AJ11" s="77"/>
      <c r="AK11" s="71">
        <f>SUM(AG11:AJ11)</f>
        <v>14400</v>
      </c>
      <c r="AL11" s="76">
        <v>0</v>
      </c>
      <c r="AM11" s="80"/>
      <c r="AN11" s="77">
        <f>AH11*50%</f>
        <v>7200</v>
      </c>
      <c r="AO11" s="171">
        <f>AK11-AL11-AM11-AN11</f>
        <v>7200</v>
      </c>
      <c r="AQ11" s="74"/>
      <c r="AR11" s="113">
        <f>AH11*20%+AH11</f>
        <v>17280</v>
      </c>
      <c r="AS11" s="79"/>
      <c r="AT11" s="77"/>
      <c r="AU11" s="71">
        <f>SUM(AQ11:AT11)</f>
        <v>17280</v>
      </c>
      <c r="AV11" s="76">
        <v>0</v>
      </c>
      <c r="AW11" s="80"/>
      <c r="AX11" s="77">
        <f>AR11*50%</f>
        <v>8640</v>
      </c>
      <c r="AY11" s="171">
        <f>AU11-AV11-AW11-AX11</f>
        <v>8640</v>
      </c>
      <c r="BA11" s="74"/>
      <c r="BB11" s="113">
        <f>AR11*20%+AR11</f>
        <v>20736</v>
      </c>
      <c r="BC11" s="79"/>
      <c r="BD11" s="77"/>
      <c r="BE11" s="71">
        <f>SUM(BA11:BD11)</f>
        <v>20736</v>
      </c>
      <c r="BF11" s="76">
        <v>0</v>
      </c>
      <c r="BG11" s="80"/>
      <c r="BH11" s="77">
        <f>BB11*50%</f>
        <v>10368</v>
      </c>
      <c r="BI11" s="171">
        <f>BE11-BF11-BG11-BH11</f>
        <v>10368</v>
      </c>
      <c r="BK11" s="74"/>
      <c r="BL11" s="113">
        <f>BB11*20%+BB11</f>
        <v>24883.200000000001</v>
      </c>
      <c r="BM11" s="79"/>
      <c r="BN11" s="77"/>
      <c r="BO11" s="71">
        <f>SUM(BK11:BN11)</f>
        <v>24883.200000000001</v>
      </c>
      <c r="BP11" s="76">
        <v>0</v>
      </c>
      <c r="BQ11" s="80"/>
      <c r="BR11" s="77">
        <f>BL11*50%</f>
        <v>12441.6</v>
      </c>
      <c r="BS11" s="171">
        <f>BO11-BP11-BQ11-BR11</f>
        <v>12441.6</v>
      </c>
    </row>
    <row r="12" spans="1:71" ht="118.15" customHeight="1" thickBot="1" x14ac:dyDescent="0.3">
      <c r="A12" s="4" t="s">
        <v>159</v>
      </c>
      <c r="B12" s="112" t="s">
        <v>158</v>
      </c>
      <c r="C12" s="16" t="s">
        <v>81</v>
      </c>
      <c r="D12" s="16" t="s">
        <v>82</v>
      </c>
      <c r="E12" s="6" t="s">
        <v>83</v>
      </c>
      <c r="F12" s="45">
        <v>2025</v>
      </c>
      <c r="G12" s="46">
        <v>2030</v>
      </c>
      <c r="H12" s="134">
        <f t="shared" si="11"/>
        <v>220963.63636363638</v>
      </c>
      <c r="I12" s="134">
        <f t="shared" si="11"/>
        <v>111163.63636363638</v>
      </c>
      <c r="J12" s="134">
        <f>S12+T12+AC12+AD12+AM12+AN12+AW12+AX12+BG12+BH12+BQ12+BR12</f>
        <v>109800</v>
      </c>
      <c r="K12" s="134">
        <f>U12+AE12+AO12+AY12+BI12+BS12</f>
        <v>0</v>
      </c>
      <c r="M12" s="88">
        <f>5*100/22*10</f>
        <v>227.27272727272725</v>
      </c>
      <c r="N12" s="89">
        <f>200*3*61</f>
        <v>36600</v>
      </c>
      <c r="O12" s="190"/>
      <c r="P12" s="89"/>
      <c r="Q12" s="89">
        <f>SUM(M12:P12)</f>
        <v>36827.272727272728</v>
      </c>
      <c r="R12" s="191">
        <f>M12+N12*50%</f>
        <v>18527.272727272728</v>
      </c>
      <c r="S12" s="89"/>
      <c r="T12" s="192">
        <f>N12*50%</f>
        <v>18300</v>
      </c>
      <c r="U12" s="193">
        <f>Q12-R12-S12-T12</f>
        <v>0</v>
      </c>
      <c r="V12" s="87"/>
      <c r="W12" s="82">
        <f>5*100/22*10</f>
        <v>227.27272727272725</v>
      </c>
      <c r="X12" s="83">
        <f>200*3*61</f>
        <v>36600</v>
      </c>
      <c r="Y12" s="84"/>
      <c r="Z12" s="83"/>
      <c r="AA12" s="83">
        <f>SUM(W12:Z12)</f>
        <v>36827.272727272728</v>
      </c>
      <c r="AB12" s="161">
        <f>W12+X12*50%</f>
        <v>18527.272727272728</v>
      </c>
      <c r="AC12" s="83"/>
      <c r="AD12" s="86">
        <f>X12*50%</f>
        <v>18300</v>
      </c>
      <c r="AE12" s="73">
        <f>AA12-AB12-AC12-AD12</f>
        <v>0</v>
      </c>
      <c r="AF12" s="90"/>
      <c r="AG12" s="82">
        <f>5*100/22*10</f>
        <v>227.27272727272725</v>
      </c>
      <c r="AH12" s="83">
        <f>200*3*61</f>
        <v>36600</v>
      </c>
      <c r="AI12" s="84"/>
      <c r="AJ12" s="83"/>
      <c r="AK12" s="83">
        <f>SUM(AG12:AJ12)</f>
        <v>36827.272727272728</v>
      </c>
      <c r="AL12" s="161">
        <f>AG12+AH12*50%</f>
        <v>18527.272727272728</v>
      </c>
      <c r="AM12" s="83"/>
      <c r="AN12" s="86">
        <f>AH12*50%</f>
        <v>18300</v>
      </c>
      <c r="AO12" s="73">
        <f>AK12-AL12-AM12-AN12</f>
        <v>0</v>
      </c>
      <c r="AQ12" s="82">
        <f>5*100/22*10</f>
        <v>227.27272727272725</v>
      </c>
      <c r="AR12" s="83">
        <f>200*3*61</f>
        <v>36600</v>
      </c>
      <c r="AS12" s="84"/>
      <c r="AT12" s="83"/>
      <c r="AU12" s="83">
        <f>SUM(AQ12:AT12)</f>
        <v>36827.272727272728</v>
      </c>
      <c r="AV12" s="161">
        <f>AQ12+AR12*50%</f>
        <v>18527.272727272728</v>
      </c>
      <c r="AW12" s="83"/>
      <c r="AX12" s="86">
        <f>AR12*50%</f>
        <v>18300</v>
      </c>
      <c r="AY12" s="73">
        <f>AU12-AV12-AW12-AX12</f>
        <v>0</v>
      </c>
      <c r="BA12" s="82">
        <f>5*100/22*10</f>
        <v>227.27272727272725</v>
      </c>
      <c r="BB12" s="83">
        <f>200*3*61</f>
        <v>36600</v>
      </c>
      <c r="BC12" s="84"/>
      <c r="BD12" s="83"/>
      <c r="BE12" s="83">
        <f>SUM(BA12:BD12)</f>
        <v>36827.272727272728</v>
      </c>
      <c r="BF12" s="161">
        <f>BA12+BB12*50%</f>
        <v>18527.272727272728</v>
      </c>
      <c r="BG12" s="83"/>
      <c r="BH12" s="86">
        <f>BB12*50%</f>
        <v>18300</v>
      </c>
      <c r="BI12" s="73">
        <f>BE12-BF12-BG12-BH12</f>
        <v>0</v>
      </c>
      <c r="BK12" s="82">
        <f>5*100/22*10</f>
        <v>227.27272727272725</v>
      </c>
      <c r="BL12" s="83">
        <f>200*3*61</f>
        <v>36600</v>
      </c>
      <c r="BM12" s="84"/>
      <c r="BN12" s="83"/>
      <c r="BO12" s="83">
        <f>SUM(BK12:BN12)</f>
        <v>36827.272727272728</v>
      </c>
      <c r="BP12" s="161">
        <f>BK12+BL12*50%</f>
        <v>18527.272727272728</v>
      </c>
      <c r="BQ12" s="83"/>
      <c r="BR12" s="86">
        <f>BL12*50%</f>
        <v>18300</v>
      </c>
      <c r="BS12" s="73">
        <f>BO12-BP12-BQ12-BR12</f>
        <v>0</v>
      </c>
    </row>
    <row r="13" spans="1:71" ht="46.9" customHeight="1" thickBot="1" x14ac:dyDescent="0.3">
      <c r="A13" s="300" t="s">
        <v>161</v>
      </c>
      <c r="B13" s="163" t="s">
        <v>160</v>
      </c>
      <c r="C13" s="23"/>
      <c r="D13" s="23"/>
      <c r="E13" s="24" t="s">
        <v>102</v>
      </c>
      <c r="F13" s="47">
        <v>2026</v>
      </c>
      <c r="G13" s="48">
        <v>2030</v>
      </c>
      <c r="H13" s="138">
        <f>SUM(H14:H16)</f>
        <v>107641</v>
      </c>
      <c r="I13" s="138">
        <f>SUM(I14:I16)</f>
        <v>28401</v>
      </c>
      <c r="J13" s="138">
        <f>SUM(J14:J16)</f>
        <v>36220</v>
      </c>
      <c r="K13" s="138">
        <f>SUM(K14:K16)</f>
        <v>43020</v>
      </c>
      <c r="M13" s="123">
        <f>SUM(M14:M17)</f>
        <v>0</v>
      </c>
      <c r="N13" s="124">
        <f t="shared" ref="N13:T13" si="12">SUM(N14:N17)</f>
        <v>0</v>
      </c>
      <c r="O13" s="124">
        <f t="shared" si="12"/>
        <v>0</v>
      </c>
      <c r="P13" s="124">
        <f t="shared" si="12"/>
        <v>2500</v>
      </c>
      <c r="Q13" s="124">
        <f t="shared" si="12"/>
        <v>2500</v>
      </c>
      <c r="R13" s="124">
        <f t="shared" si="12"/>
        <v>0</v>
      </c>
      <c r="S13" s="124">
        <f t="shared" si="12"/>
        <v>0</v>
      </c>
      <c r="T13" s="125">
        <f t="shared" si="12"/>
        <v>0</v>
      </c>
      <c r="U13" s="126">
        <f>SUM(U14:U17)</f>
        <v>2500</v>
      </c>
      <c r="W13" s="123">
        <f>SUM(W14:W17)</f>
        <v>6000</v>
      </c>
      <c r="X13" s="124">
        <f t="shared" ref="X13:AE13" si="13">SUM(X14:X17)</f>
        <v>13410</v>
      </c>
      <c r="Y13" s="124">
        <f t="shared" si="13"/>
        <v>0</v>
      </c>
      <c r="Z13" s="124">
        <f t="shared" si="13"/>
        <v>2500</v>
      </c>
      <c r="AA13" s="124">
        <f t="shared" si="13"/>
        <v>21910</v>
      </c>
      <c r="AB13" s="124">
        <f t="shared" si="13"/>
        <v>6000</v>
      </c>
      <c r="AC13" s="124">
        <f t="shared" si="13"/>
        <v>0</v>
      </c>
      <c r="AD13" s="125">
        <f t="shared" si="13"/>
        <v>6705</v>
      </c>
      <c r="AE13" s="126">
        <f t="shared" si="13"/>
        <v>9205</v>
      </c>
      <c r="AG13" s="123">
        <f>SUM(AG14:AG17)</f>
        <v>4400</v>
      </c>
      <c r="AH13" s="124">
        <f>SUM(AH14:AH17)</f>
        <v>16210</v>
      </c>
      <c r="AI13" s="124">
        <f t="shared" ref="AI13:AO13" si="14">SUM(AI14:AI17)</f>
        <v>1500</v>
      </c>
      <c r="AJ13" s="124">
        <f t="shared" si="14"/>
        <v>3100</v>
      </c>
      <c r="AK13" s="124">
        <f t="shared" si="14"/>
        <v>25210</v>
      </c>
      <c r="AL13" s="124">
        <f t="shared" si="14"/>
        <v>4400</v>
      </c>
      <c r="AM13" s="124">
        <f t="shared" si="14"/>
        <v>0</v>
      </c>
      <c r="AN13" s="125">
        <f t="shared" si="14"/>
        <v>7555</v>
      </c>
      <c r="AO13" s="126">
        <f t="shared" si="14"/>
        <v>13255</v>
      </c>
      <c r="AQ13" s="123">
        <f>SUM(AQ14:AQ17)</f>
        <v>4400</v>
      </c>
      <c r="AR13" s="124">
        <f t="shared" ref="AR13:AY13" si="15">SUM(AR14:AR17)</f>
        <v>16310</v>
      </c>
      <c r="AS13" s="124">
        <f t="shared" si="15"/>
        <v>0</v>
      </c>
      <c r="AT13" s="124">
        <f t="shared" si="15"/>
        <v>2500</v>
      </c>
      <c r="AU13" s="124">
        <f t="shared" si="15"/>
        <v>23210</v>
      </c>
      <c r="AV13" s="124">
        <f t="shared" si="15"/>
        <v>4400</v>
      </c>
      <c r="AW13" s="124">
        <f t="shared" si="15"/>
        <v>0</v>
      </c>
      <c r="AX13" s="125">
        <f t="shared" si="15"/>
        <v>7555</v>
      </c>
      <c r="AY13" s="126">
        <f t="shared" si="15"/>
        <v>11255</v>
      </c>
      <c r="BA13" s="123">
        <f>SUM(BA14:BA17)</f>
        <v>4400</v>
      </c>
      <c r="BB13" s="124">
        <f t="shared" ref="BB13:BI13" si="16">SUM(BB14:BB17)</f>
        <v>16310</v>
      </c>
      <c r="BC13" s="124">
        <f t="shared" si="16"/>
        <v>0</v>
      </c>
      <c r="BD13" s="124">
        <f t="shared" si="16"/>
        <v>2500</v>
      </c>
      <c r="BE13" s="124">
        <f t="shared" si="16"/>
        <v>23210</v>
      </c>
      <c r="BF13" s="124">
        <f t="shared" si="16"/>
        <v>4400</v>
      </c>
      <c r="BG13" s="124">
        <f t="shared" si="16"/>
        <v>0</v>
      </c>
      <c r="BH13" s="125">
        <f t="shared" si="16"/>
        <v>7555</v>
      </c>
      <c r="BI13" s="126">
        <f t="shared" si="16"/>
        <v>11255</v>
      </c>
      <c r="BK13" s="123">
        <f>SUM(BK14:BK17)</f>
        <v>7650</v>
      </c>
      <c r="BL13" s="124">
        <f t="shared" ref="BL13:BS13" si="17">SUM(BL14:BL17)</f>
        <v>16451</v>
      </c>
      <c r="BM13" s="124">
        <f t="shared" si="17"/>
        <v>0</v>
      </c>
      <c r="BN13" s="124">
        <f t="shared" si="17"/>
        <v>2500</v>
      </c>
      <c r="BO13" s="124">
        <f t="shared" si="17"/>
        <v>26601</v>
      </c>
      <c r="BP13" s="124">
        <f t="shared" si="17"/>
        <v>9201</v>
      </c>
      <c r="BQ13" s="124">
        <f t="shared" si="17"/>
        <v>0</v>
      </c>
      <c r="BR13" s="125">
        <f t="shared" si="17"/>
        <v>6850</v>
      </c>
      <c r="BS13" s="126">
        <f t="shared" si="17"/>
        <v>10550</v>
      </c>
    </row>
    <row r="14" spans="1:71" ht="337.15" customHeight="1" x14ac:dyDescent="0.25">
      <c r="A14" s="25" t="s">
        <v>166</v>
      </c>
      <c r="B14" s="19" t="s">
        <v>162</v>
      </c>
      <c r="C14" s="6" t="s">
        <v>85</v>
      </c>
      <c r="D14" s="6" t="s">
        <v>89</v>
      </c>
      <c r="E14" s="162" t="s">
        <v>84</v>
      </c>
      <c r="F14" s="166">
        <v>2026</v>
      </c>
      <c r="G14" s="5">
        <v>2030</v>
      </c>
      <c r="H14" s="156">
        <f t="shared" ref="H14:I16" si="18">Q14+AA14+AK14+AU14+BE14+BO14</f>
        <v>79000</v>
      </c>
      <c r="I14" s="156">
        <f t="shared" si="18"/>
        <v>11600</v>
      </c>
      <c r="J14" s="156">
        <f>S14+T14+AC14+AD14+AM14+AN14+AW14+AX14+BG14+BH14+BQ14+BR14</f>
        <v>33400</v>
      </c>
      <c r="K14" s="202">
        <f>U14+AE14+AO14+AY14+BI14+BS14</f>
        <v>34000</v>
      </c>
      <c r="L14" s="203"/>
      <c r="M14" s="172"/>
      <c r="N14" s="116"/>
      <c r="O14" s="165"/>
      <c r="P14" s="165"/>
      <c r="Q14" s="116">
        <f>M14+N14+O14+P14</f>
        <v>0</v>
      </c>
      <c r="R14" s="165">
        <f>Q14</f>
        <v>0</v>
      </c>
      <c r="S14" s="165"/>
      <c r="T14" s="201"/>
      <c r="U14" s="173">
        <f>Q14-R14-S14-T14</f>
        <v>0</v>
      </c>
      <c r="V14" s="204"/>
      <c r="W14" s="172">
        <f>10*200*1</f>
        <v>2000</v>
      </c>
      <c r="X14" s="116">
        <f>2*6000</f>
        <v>12000</v>
      </c>
      <c r="Y14" s="165"/>
      <c r="Z14" s="165"/>
      <c r="AA14" s="116">
        <f>W14+X14+Y14+Z14</f>
        <v>14000</v>
      </c>
      <c r="AB14" s="165">
        <f>W14</f>
        <v>2000</v>
      </c>
      <c r="AC14" s="165"/>
      <c r="AD14" s="201">
        <f>X14*50%</f>
        <v>6000</v>
      </c>
      <c r="AE14" s="173">
        <f>AA14-AB14-AC14-AD14</f>
        <v>6000</v>
      </c>
      <c r="AF14" s="205"/>
      <c r="AG14" s="172">
        <f>10*4*5*12</f>
        <v>2400</v>
      </c>
      <c r="AH14" s="116">
        <f>2*6000+300+100*12+200</f>
        <v>13700</v>
      </c>
      <c r="AI14" s="165"/>
      <c r="AJ14" s="165">
        <v>600</v>
      </c>
      <c r="AK14" s="116">
        <f>AG14+AH14+AI14+AJ14</f>
        <v>16700</v>
      </c>
      <c r="AL14" s="165">
        <f>AG14</f>
        <v>2400</v>
      </c>
      <c r="AM14" s="165"/>
      <c r="AN14" s="201">
        <f>AH14*50%</f>
        <v>6850</v>
      </c>
      <c r="AO14" s="173">
        <f>AK14-AL14-AM14-AN14</f>
        <v>7450</v>
      </c>
      <c r="AP14" s="206"/>
      <c r="AQ14" s="172">
        <f>10*4*5*12</f>
        <v>2400</v>
      </c>
      <c r="AR14" s="116">
        <f>2*6000+300+100*12+200</f>
        <v>13700</v>
      </c>
      <c r="AS14" s="165"/>
      <c r="AT14" s="165"/>
      <c r="AU14" s="116">
        <f>AQ14+AR14+AS14+AT14</f>
        <v>16100</v>
      </c>
      <c r="AV14" s="165">
        <f>AQ14</f>
        <v>2400</v>
      </c>
      <c r="AW14" s="165"/>
      <c r="AX14" s="201">
        <f>AR14*50%</f>
        <v>6850</v>
      </c>
      <c r="AY14" s="173">
        <f>AU14-AV14-AW14-AX14</f>
        <v>6850</v>
      </c>
      <c r="AZ14" s="205"/>
      <c r="BA14" s="172">
        <f>10*4*5*12</f>
        <v>2400</v>
      </c>
      <c r="BB14" s="116">
        <f>2*6000+300+100*12+200</f>
        <v>13700</v>
      </c>
      <c r="BC14" s="165"/>
      <c r="BD14" s="165"/>
      <c r="BE14" s="116">
        <f>BA14+BB14+BC14+BD14</f>
        <v>16100</v>
      </c>
      <c r="BF14" s="165">
        <f>BA14</f>
        <v>2400</v>
      </c>
      <c r="BG14" s="165"/>
      <c r="BH14" s="201">
        <f>BB14*50%</f>
        <v>6850</v>
      </c>
      <c r="BI14" s="173">
        <f>BE14-BF14-BG14-BH14</f>
        <v>6850</v>
      </c>
      <c r="BJ14" s="203"/>
      <c r="BK14" s="172">
        <f>10*4*5*12</f>
        <v>2400</v>
      </c>
      <c r="BL14" s="116">
        <f>2*6000+300+100*12+200</f>
        <v>13700</v>
      </c>
      <c r="BM14" s="165"/>
      <c r="BN14" s="165"/>
      <c r="BO14" s="116">
        <f>BK14+BL14+BM14+BN14</f>
        <v>16100</v>
      </c>
      <c r="BP14" s="165">
        <f>BK14</f>
        <v>2400</v>
      </c>
      <c r="BQ14" s="165"/>
      <c r="BR14" s="201">
        <f>BL14*50%</f>
        <v>6850</v>
      </c>
      <c r="BS14" s="173">
        <f>BO14-BP14-BQ14-BR14</f>
        <v>6850</v>
      </c>
    </row>
    <row r="15" spans="1:71" ht="297" customHeight="1" x14ac:dyDescent="0.25">
      <c r="A15" s="25" t="s">
        <v>167</v>
      </c>
      <c r="B15" s="20" t="s">
        <v>163</v>
      </c>
      <c r="C15" s="16" t="s">
        <v>92</v>
      </c>
      <c r="D15" s="16" t="s">
        <v>93</v>
      </c>
      <c r="E15" s="18" t="s">
        <v>86</v>
      </c>
      <c r="F15" s="166">
        <v>2026</v>
      </c>
      <c r="G15" s="5">
        <v>2030</v>
      </c>
      <c r="H15" s="156">
        <f t="shared" si="18"/>
        <v>8200</v>
      </c>
      <c r="I15" s="156">
        <f t="shared" si="18"/>
        <v>2000</v>
      </c>
      <c r="J15" s="156">
        <f>S15+T15+AC15+AD15+AM15+AN15+AW15+AX15+BG15+BH15+BQ15+BR15</f>
        <v>0</v>
      </c>
      <c r="K15" s="202">
        <f>U15+AE15+AO15+AY15+BI15+BS15</f>
        <v>6200</v>
      </c>
      <c r="L15" s="203"/>
      <c r="M15" s="74"/>
      <c r="N15" s="77"/>
      <c r="O15" s="77"/>
      <c r="P15" s="77"/>
      <c r="Q15" s="116">
        <f>M15+N15+O15+P15</f>
        <v>0</v>
      </c>
      <c r="R15" s="77"/>
      <c r="S15" s="77"/>
      <c r="T15" s="80"/>
      <c r="U15" s="174"/>
      <c r="V15" s="207"/>
      <c r="W15" s="74">
        <f>10*1*200</f>
        <v>2000</v>
      </c>
      <c r="X15" s="77"/>
      <c r="Y15" s="77"/>
      <c r="Z15" s="77"/>
      <c r="AA15" s="116">
        <f>W15+X15+Y15+Z15</f>
        <v>2000</v>
      </c>
      <c r="AB15" s="165">
        <f>AA15</f>
        <v>2000</v>
      </c>
      <c r="AC15" s="77"/>
      <c r="AD15" s="80"/>
      <c r="AE15" s="174"/>
      <c r="AF15" s="178"/>
      <c r="AG15" s="74"/>
      <c r="AH15" s="77">
        <f>100*10+100</f>
        <v>1100</v>
      </c>
      <c r="AI15" s="77">
        <f>10*5*30</f>
        <v>1500</v>
      </c>
      <c r="AJ15" s="77"/>
      <c r="AK15" s="116">
        <f>AG15+AH15+AI15+AJ15</f>
        <v>2600</v>
      </c>
      <c r="AL15" s="77"/>
      <c r="AM15" s="80"/>
      <c r="AN15" s="94"/>
      <c r="AO15" s="181">
        <f>AK15-AL15-AM15-AN15</f>
        <v>2600</v>
      </c>
      <c r="AP15" s="178"/>
      <c r="AQ15" s="74"/>
      <c r="AR15" s="77">
        <f>100*10+200</f>
        <v>1200</v>
      </c>
      <c r="AS15" s="77"/>
      <c r="AT15" s="77"/>
      <c r="AU15" s="116">
        <f>AQ15+AR15+AS15+AT15</f>
        <v>1200</v>
      </c>
      <c r="AV15" s="80"/>
      <c r="AW15" s="94"/>
      <c r="AX15" s="81"/>
      <c r="AY15" s="173">
        <f>AU15-AV15-AW15-AX15</f>
        <v>1200</v>
      </c>
      <c r="AZ15" s="178"/>
      <c r="BA15" s="74"/>
      <c r="BB15" s="77">
        <f>100*10+200</f>
        <v>1200</v>
      </c>
      <c r="BC15" s="77"/>
      <c r="BD15" s="77"/>
      <c r="BE15" s="116">
        <f>BA15+BB15+BC15+BD15</f>
        <v>1200</v>
      </c>
      <c r="BF15" s="80"/>
      <c r="BG15" s="94"/>
      <c r="BH15" s="81"/>
      <c r="BI15" s="173">
        <f>BE15-BF15-BG15-BH15</f>
        <v>1200</v>
      </c>
      <c r="BJ15" s="178"/>
      <c r="BK15" s="74"/>
      <c r="BL15" s="77">
        <f>100*10+200</f>
        <v>1200</v>
      </c>
      <c r="BM15" s="77"/>
      <c r="BN15" s="77"/>
      <c r="BO15" s="116">
        <f>BK15+BL15+BM15+BN15</f>
        <v>1200</v>
      </c>
      <c r="BP15" s="80"/>
      <c r="BQ15" s="94"/>
      <c r="BR15" s="81"/>
      <c r="BS15" s="173">
        <f>BO15-BP15-BQ15-BR15</f>
        <v>1200</v>
      </c>
    </row>
    <row r="16" spans="1:71" ht="246.6" customHeight="1" x14ac:dyDescent="0.25">
      <c r="A16" s="25" t="s">
        <v>168</v>
      </c>
      <c r="B16" s="21" t="s">
        <v>164</v>
      </c>
      <c r="C16" s="16" t="s">
        <v>87</v>
      </c>
      <c r="D16" s="16" t="s">
        <v>94</v>
      </c>
      <c r="E16" s="39"/>
      <c r="F16" s="45">
        <v>2026</v>
      </c>
      <c r="G16" s="46">
        <v>2030</v>
      </c>
      <c r="H16" s="156">
        <f t="shared" si="18"/>
        <v>20441</v>
      </c>
      <c r="I16" s="156">
        <f t="shared" si="18"/>
        <v>14801</v>
      </c>
      <c r="J16" s="156">
        <f>S16+T16+AC16+AD16+AM16+AN16+AW16+AX16+BG16+BH16+BQ16+BR16</f>
        <v>2820</v>
      </c>
      <c r="K16" s="202">
        <f>U16+AE16+AO16+AY16+BI16+BS16</f>
        <v>2820</v>
      </c>
      <c r="L16" s="203"/>
      <c r="M16" s="74">
        <v>0</v>
      </c>
      <c r="N16" s="77">
        <v>0</v>
      </c>
      <c r="O16" s="77"/>
      <c r="P16" s="77"/>
      <c r="Q16" s="116">
        <f>M16+N16+O16+P16</f>
        <v>0</v>
      </c>
      <c r="R16" s="77">
        <f>N16</f>
        <v>0</v>
      </c>
      <c r="S16" s="77"/>
      <c r="T16" s="80"/>
      <c r="U16" s="174">
        <f>Q16-R16-S16-T16</f>
        <v>0</v>
      </c>
      <c r="V16" s="87"/>
      <c r="W16" s="74">
        <f>10*200</f>
        <v>2000</v>
      </c>
      <c r="X16" s="77">
        <f>2*50+60*1+30*5+200+60*15</f>
        <v>1410</v>
      </c>
      <c r="Y16" s="77"/>
      <c r="Z16" s="77"/>
      <c r="AA16" s="116">
        <f>W16+X16+Y16+Z16</f>
        <v>3410</v>
      </c>
      <c r="AB16" s="165">
        <f>W16</f>
        <v>2000</v>
      </c>
      <c r="AC16" s="77"/>
      <c r="AD16" s="80">
        <f>X16*50%</f>
        <v>705</v>
      </c>
      <c r="AE16" s="174">
        <f>AA16-AB16-AC16-AD16</f>
        <v>705</v>
      </c>
      <c r="AF16" s="90"/>
      <c r="AG16" s="74">
        <f>10*200</f>
        <v>2000</v>
      </c>
      <c r="AH16" s="77">
        <f>2*50+60*1+30*5+200+60*15</f>
        <v>1410</v>
      </c>
      <c r="AI16" s="77"/>
      <c r="AJ16" s="77"/>
      <c r="AK16" s="116">
        <f>AG16+AH16+AI16+AJ16</f>
        <v>3410</v>
      </c>
      <c r="AL16" s="165">
        <f>AG16</f>
        <v>2000</v>
      </c>
      <c r="AM16" s="77"/>
      <c r="AN16" s="80">
        <f>AH16*50%</f>
        <v>705</v>
      </c>
      <c r="AO16" s="174">
        <f>AK16-AL16-AM16-AN16</f>
        <v>705</v>
      </c>
      <c r="AP16" s="206"/>
      <c r="AQ16" s="74">
        <f>10*200</f>
        <v>2000</v>
      </c>
      <c r="AR16" s="77">
        <f>2*50+60*1+30*5+200+60*15</f>
        <v>1410</v>
      </c>
      <c r="AS16" s="77"/>
      <c r="AT16" s="77"/>
      <c r="AU16" s="116">
        <f>AQ16+AR16+AS16+AT16</f>
        <v>3410</v>
      </c>
      <c r="AV16" s="165">
        <f>AQ16</f>
        <v>2000</v>
      </c>
      <c r="AW16" s="77"/>
      <c r="AX16" s="80">
        <f>AR16*50%</f>
        <v>705</v>
      </c>
      <c r="AY16" s="174">
        <f>AU16-AV16-AW16-AX16</f>
        <v>705</v>
      </c>
      <c r="AZ16" s="205"/>
      <c r="BA16" s="74">
        <f>10*200</f>
        <v>2000</v>
      </c>
      <c r="BB16" s="77">
        <f>2*50+60*1+30*5+200+60*15</f>
        <v>1410</v>
      </c>
      <c r="BC16" s="77"/>
      <c r="BD16" s="77"/>
      <c r="BE16" s="116">
        <f>BA16+BB16+BC16+BD16</f>
        <v>3410</v>
      </c>
      <c r="BF16" s="165">
        <f>BA16</f>
        <v>2000</v>
      </c>
      <c r="BG16" s="77"/>
      <c r="BH16" s="80">
        <f>BB16*50%</f>
        <v>705</v>
      </c>
      <c r="BI16" s="174">
        <f>BE16-BF16-BG16-BH16</f>
        <v>705</v>
      </c>
      <c r="BJ16" s="203"/>
      <c r="BK16" s="74">
        <f>350*15</f>
        <v>5250</v>
      </c>
      <c r="BL16" s="77">
        <f>BB16*10%+BB16</f>
        <v>1551</v>
      </c>
      <c r="BM16" s="77"/>
      <c r="BN16" s="77"/>
      <c r="BO16" s="116">
        <f>BK16+BL16+BM16+BN16</f>
        <v>6801</v>
      </c>
      <c r="BP16" s="165">
        <f>BO16</f>
        <v>6801</v>
      </c>
      <c r="BQ16" s="77"/>
      <c r="BR16" s="80"/>
      <c r="BS16" s="173">
        <f>BO16-BP16-BQ16-BR16</f>
        <v>0</v>
      </c>
    </row>
    <row r="17" spans="1:71" ht="165" customHeight="1" thickBot="1" x14ac:dyDescent="0.3">
      <c r="A17" s="25" t="s">
        <v>169</v>
      </c>
      <c r="B17" s="164" t="s">
        <v>165</v>
      </c>
      <c r="C17" s="30" t="s">
        <v>88</v>
      </c>
      <c r="D17" s="30" t="s">
        <v>124</v>
      </c>
      <c r="E17" s="31"/>
      <c r="F17" s="32">
        <v>2025</v>
      </c>
      <c r="G17" s="33">
        <v>2030</v>
      </c>
      <c r="H17" s="158">
        <f t="shared" ref="H17:I17" si="19">Q17+AA17+AK17+AU17+BE17+BO17</f>
        <v>15000</v>
      </c>
      <c r="I17" s="158">
        <f t="shared" si="19"/>
        <v>0</v>
      </c>
      <c r="J17" s="158">
        <f>S17+T17+AC17+AD17+AM17+AN17+AW17+AX17+BG17+BH17+BQ17+BR17</f>
        <v>0</v>
      </c>
      <c r="K17" s="208">
        <f>U17+AE17+AO17+AY17+BI17+BS17</f>
        <v>15000</v>
      </c>
      <c r="L17" s="203"/>
      <c r="M17" s="88">
        <v>0</v>
      </c>
      <c r="N17" s="175"/>
      <c r="O17" s="175">
        <v>0</v>
      </c>
      <c r="P17" s="175">
        <f>500*5</f>
        <v>2500</v>
      </c>
      <c r="Q17" s="175">
        <f>M17+N17+O17+P17</f>
        <v>2500</v>
      </c>
      <c r="R17" s="175">
        <f>M17+N17</f>
        <v>0</v>
      </c>
      <c r="S17" s="175"/>
      <c r="T17" s="176">
        <f>O17</f>
        <v>0</v>
      </c>
      <c r="U17" s="177">
        <f>Q17-R17-S17-T17</f>
        <v>2500</v>
      </c>
      <c r="V17" s="204"/>
      <c r="W17" s="88">
        <v>0</v>
      </c>
      <c r="X17" s="175"/>
      <c r="Y17" s="175">
        <v>0</v>
      </c>
      <c r="Z17" s="175">
        <f>500*5</f>
        <v>2500</v>
      </c>
      <c r="AA17" s="175">
        <f>W17+X17+Y17+Z17</f>
        <v>2500</v>
      </c>
      <c r="AB17" s="175">
        <f>W17+X17</f>
        <v>0</v>
      </c>
      <c r="AC17" s="175"/>
      <c r="AD17" s="176">
        <f>Y17</f>
        <v>0</v>
      </c>
      <c r="AE17" s="177">
        <f>AA17-AB17-AC17-AD17</f>
        <v>2500</v>
      </c>
      <c r="AF17" s="204"/>
      <c r="AG17" s="88">
        <v>0</v>
      </c>
      <c r="AH17" s="175"/>
      <c r="AI17" s="175">
        <v>0</v>
      </c>
      <c r="AJ17" s="175">
        <f>500*5</f>
        <v>2500</v>
      </c>
      <c r="AK17" s="175">
        <f>AG17+AH17+AI17+AJ17</f>
        <v>2500</v>
      </c>
      <c r="AL17" s="175">
        <f>AG17+AH17</f>
        <v>0</v>
      </c>
      <c r="AM17" s="175"/>
      <c r="AN17" s="176">
        <f>AI17</f>
        <v>0</v>
      </c>
      <c r="AO17" s="177">
        <f>AK17-AL17-AM17-AN17</f>
        <v>2500</v>
      </c>
      <c r="AP17" s="209"/>
      <c r="AQ17" s="88">
        <v>0</v>
      </c>
      <c r="AR17" s="175"/>
      <c r="AS17" s="175">
        <v>0</v>
      </c>
      <c r="AT17" s="175">
        <f>500*5</f>
        <v>2500</v>
      </c>
      <c r="AU17" s="175">
        <f>AQ17+AR17+AS17+AT17</f>
        <v>2500</v>
      </c>
      <c r="AV17" s="175">
        <f>AQ17+AR17</f>
        <v>0</v>
      </c>
      <c r="AW17" s="175"/>
      <c r="AX17" s="176">
        <f>AS17</f>
        <v>0</v>
      </c>
      <c r="AY17" s="177">
        <f>AU17-AV17-AW17-AX17</f>
        <v>2500</v>
      </c>
      <c r="AZ17" s="205"/>
      <c r="BA17" s="88">
        <v>0</v>
      </c>
      <c r="BB17" s="175"/>
      <c r="BC17" s="175">
        <v>0</v>
      </c>
      <c r="BD17" s="175">
        <f>500*5</f>
        <v>2500</v>
      </c>
      <c r="BE17" s="175">
        <f>BA17+BB17+BC17+BD17</f>
        <v>2500</v>
      </c>
      <c r="BF17" s="175">
        <f>BA17+BB17</f>
        <v>0</v>
      </c>
      <c r="BG17" s="175"/>
      <c r="BH17" s="176">
        <f>BC17</f>
        <v>0</v>
      </c>
      <c r="BI17" s="177">
        <f>BE17-BF17-BG17-BH17</f>
        <v>2500</v>
      </c>
      <c r="BJ17" s="203"/>
      <c r="BK17" s="88">
        <v>0</v>
      </c>
      <c r="BL17" s="175"/>
      <c r="BM17" s="175">
        <v>0</v>
      </c>
      <c r="BN17" s="175">
        <f>500*5</f>
        <v>2500</v>
      </c>
      <c r="BO17" s="175">
        <f>BK17+BL17+BM17+BN17</f>
        <v>2500</v>
      </c>
      <c r="BP17" s="175">
        <f>BK17+BL17</f>
        <v>0</v>
      </c>
      <c r="BQ17" s="175"/>
      <c r="BR17" s="176">
        <f>BM17</f>
        <v>0</v>
      </c>
      <c r="BS17" s="177">
        <f>BO17-BP17-BQ17-BR17</f>
        <v>2500</v>
      </c>
    </row>
    <row r="18" spans="1:71" ht="85.15" customHeight="1" x14ac:dyDescent="0.25">
      <c r="A18" s="7"/>
      <c r="AQ18" s="9"/>
      <c r="AR18" s="9"/>
      <c r="AS18" s="9"/>
      <c r="AT18" s="9"/>
      <c r="AU18" s="9"/>
      <c r="AV18" s="9"/>
      <c r="AW18" s="9"/>
      <c r="AX18" s="9"/>
      <c r="AY18" s="9"/>
      <c r="BA18" s="9"/>
      <c r="BB18" s="9"/>
      <c r="BC18" s="9"/>
      <c r="BD18" s="9"/>
      <c r="BE18" s="9"/>
      <c r="BF18" s="9"/>
      <c r="BG18" s="9"/>
      <c r="BH18" s="9"/>
      <c r="BI18" s="9"/>
      <c r="BK18" s="9"/>
      <c r="BL18" s="9"/>
      <c r="BM18" s="9"/>
      <c r="BN18" s="9"/>
      <c r="BO18" s="9"/>
      <c r="BP18" s="9"/>
      <c r="BQ18" s="9"/>
      <c r="BR18" s="9"/>
      <c r="BS18" s="9"/>
    </row>
    <row r="19" spans="1:71" ht="46.9" customHeight="1" x14ac:dyDescent="0.25">
      <c r="A19" s="7"/>
      <c r="AQ19" s="9"/>
      <c r="AR19" s="9"/>
      <c r="AS19" s="9"/>
      <c r="AT19" s="9"/>
      <c r="AU19" s="9"/>
      <c r="AV19" s="9"/>
      <c r="AW19" s="9"/>
      <c r="AX19" s="9"/>
      <c r="AY19" s="9"/>
      <c r="BA19" s="9"/>
      <c r="BB19" s="9"/>
      <c r="BC19" s="9"/>
      <c r="BD19" s="9"/>
      <c r="BE19" s="9"/>
      <c r="BF19" s="9"/>
      <c r="BG19" s="9"/>
      <c r="BH19" s="9"/>
      <c r="BI19" s="9"/>
      <c r="BK19" s="9"/>
      <c r="BL19" s="9"/>
      <c r="BM19" s="9"/>
      <c r="BN19" s="9"/>
      <c r="BO19" s="9"/>
      <c r="BP19" s="9"/>
      <c r="BQ19" s="9"/>
      <c r="BR19" s="9"/>
      <c r="BS19" s="9"/>
    </row>
    <row r="20" spans="1:71" ht="46.9" customHeight="1" x14ac:dyDescent="0.25">
      <c r="A20" s="7"/>
      <c r="AP20" s="110"/>
      <c r="AQ20" s="9"/>
      <c r="AR20" s="9"/>
      <c r="AS20" s="9"/>
      <c r="AT20" s="9"/>
      <c r="AU20" s="9"/>
      <c r="AV20" s="9"/>
      <c r="AW20" s="9"/>
      <c r="AX20" s="9"/>
      <c r="AY20" s="9"/>
      <c r="BA20" s="9"/>
      <c r="BB20" s="9"/>
      <c r="BC20" s="9"/>
      <c r="BD20" s="9"/>
      <c r="BE20" s="9"/>
      <c r="BF20" s="9"/>
      <c r="BG20" s="9"/>
      <c r="BH20" s="9"/>
      <c r="BI20" s="9"/>
      <c r="BK20" s="9"/>
      <c r="BL20" s="9"/>
      <c r="BM20" s="9"/>
      <c r="BN20" s="9"/>
      <c r="BO20" s="9"/>
      <c r="BP20" s="9"/>
      <c r="BQ20" s="9"/>
      <c r="BR20" s="9"/>
      <c r="BS20" s="9"/>
    </row>
    <row r="21" spans="1:71" ht="46.9" customHeight="1" x14ac:dyDescent="0.25">
      <c r="A21" s="7"/>
      <c r="AP21" s="110"/>
      <c r="AQ21" s="9"/>
      <c r="AR21" s="9"/>
      <c r="AS21" s="9"/>
      <c r="AT21" s="9"/>
      <c r="AU21" s="9"/>
      <c r="AV21" s="9"/>
      <c r="AW21" s="9"/>
      <c r="AX21" s="9"/>
      <c r="AY21" s="9"/>
      <c r="BA21" s="9"/>
      <c r="BB21" s="9"/>
      <c r="BC21" s="9"/>
      <c r="BD21" s="9"/>
      <c r="BE21" s="9"/>
      <c r="BF21" s="9"/>
      <c r="BG21" s="9"/>
      <c r="BH21" s="9"/>
      <c r="BI21" s="9"/>
      <c r="BK21" s="9"/>
      <c r="BL21" s="9"/>
      <c r="BM21" s="9"/>
      <c r="BN21" s="9"/>
      <c r="BO21" s="9"/>
      <c r="BP21" s="9"/>
      <c r="BQ21" s="9"/>
      <c r="BR21" s="9"/>
      <c r="BS21" s="9"/>
    </row>
    <row r="22" spans="1:71" ht="46.9" customHeight="1" x14ac:dyDescent="0.25">
      <c r="A22" s="7"/>
      <c r="AP22" s="110"/>
      <c r="AQ22" s="9"/>
      <c r="AR22" s="9"/>
      <c r="AS22" s="9"/>
      <c r="AT22" s="9"/>
      <c r="AU22" s="9"/>
      <c r="AV22" s="9"/>
      <c r="AW22" s="9"/>
      <c r="AX22" s="9"/>
      <c r="AY22" s="9"/>
      <c r="BA22" s="9"/>
      <c r="BB22" s="9"/>
      <c r="BC22" s="9"/>
      <c r="BD22" s="9"/>
      <c r="BE22" s="9"/>
      <c r="BF22" s="9"/>
      <c r="BG22" s="9"/>
      <c r="BH22" s="9"/>
      <c r="BI22" s="9"/>
      <c r="BK22" s="9"/>
      <c r="BL22" s="9"/>
      <c r="BM22" s="9"/>
      <c r="BN22" s="9"/>
      <c r="BO22" s="9"/>
      <c r="BP22" s="9"/>
      <c r="BQ22" s="9"/>
      <c r="BR22" s="9"/>
      <c r="BS22" s="9"/>
    </row>
    <row r="23" spans="1:71" ht="46.9" customHeight="1" x14ac:dyDescent="0.25">
      <c r="A23" s="7"/>
      <c r="AP23" s="110"/>
      <c r="AQ23" s="9"/>
      <c r="AR23" s="9"/>
      <c r="AS23" s="9"/>
      <c r="AT23" s="9"/>
      <c r="AU23" s="9"/>
      <c r="AV23" s="9"/>
      <c r="AW23" s="9"/>
      <c r="AX23" s="9"/>
      <c r="AY23" s="9"/>
      <c r="BA23" s="9"/>
      <c r="BB23" s="9"/>
      <c r="BC23" s="9"/>
      <c r="BD23" s="9"/>
      <c r="BE23" s="9"/>
      <c r="BF23" s="9"/>
      <c r="BG23" s="9"/>
      <c r="BH23" s="9"/>
      <c r="BI23" s="9"/>
      <c r="BK23" s="9"/>
      <c r="BL23" s="9"/>
      <c r="BM23" s="9"/>
      <c r="BN23" s="9"/>
      <c r="BO23" s="9"/>
      <c r="BP23" s="9"/>
      <c r="BQ23" s="9"/>
      <c r="BR23" s="9"/>
      <c r="BS23" s="9"/>
    </row>
    <row r="24" spans="1:71" ht="46.9" customHeight="1" x14ac:dyDescent="0.25">
      <c r="A24" s="7"/>
      <c r="AQ24" s="9"/>
      <c r="AR24" s="9"/>
      <c r="AS24" s="9"/>
      <c r="AT24" s="9"/>
      <c r="AU24" s="9"/>
      <c r="AV24" s="9"/>
      <c r="AW24" s="9"/>
      <c r="AX24" s="9"/>
      <c r="AY24" s="9"/>
      <c r="BA24" s="9"/>
      <c r="BB24" s="9"/>
      <c r="BC24" s="9"/>
      <c r="BD24" s="9"/>
      <c r="BE24" s="9"/>
      <c r="BF24" s="9"/>
      <c r="BG24" s="9"/>
      <c r="BH24" s="9"/>
      <c r="BI24" s="9"/>
      <c r="BK24" s="9"/>
      <c r="BL24" s="9"/>
      <c r="BM24" s="9"/>
      <c r="BN24" s="9"/>
      <c r="BO24" s="9"/>
      <c r="BP24" s="9"/>
      <c r="BQ24" s="9"/>
      <c r="BR24" s="9"/>
      <c r="BS24" s="9"/>
    </row>
    <row r="25" spans="1:71" ht="46.9" customHeight="1" x14ac:dyDescent="0.25">
      <c r="A25" s="7"/>
      <c r="AP25" s="110"/>
      <c r="AQ25" s="9"/>
      <c r="AR25" s="9"/>
      <c r="AS25" s="9"/>
      <c r="AT25" s="9"/>
      <c r="AU25" s="9"/>
      <c r="AV25" s="9"/>
      <c r="AW25" s="9"/>
      <c r="AX25" s="9"/>
      <c r="AY25" s="9"/>
      <c r="BA25" s="9"/>
      <c r="BB25" s="9"/>
      <c r="BC25" s="9"/>
      <c r="BD25" s="9"/>
      <c r="BE25" s="9"/>
      <c r="BF25" s="9"/>
      <c r="BG25" s="9"/>
      <c r="BH25" s="9"/>
      <c r="BI25" s="9"/>
      <c r="BK25" s="9"/>
      <c r="BL25" s="9"/>
      <c r="BM25" s="9"/>
      <c r="BN25" s="9"/>
      <c r="BO25" s="9"/>
      <c r="BP25" s="9"/>
      <c r="BQ25" s="9"/>
      <c r="BR25" s="9"/>
      <c r="BS25" s="9"/>
    </row>
    <row r="26" spans="1:71" ht="46.9" customHeight="1" x14ac:dyDescent="0.25">
      <c r="A26" s="7"/>
      <c r="AP26" s="110"/>
      <c r="AQ26" s="9"/>
      <c r="AR26" s="9"/>
      <c r="AS26" s="9"/>
      <c r="AT26" s="9"/>
      <c r="AU26" s="9"/>
      <c r="AV26" s="9"/>
      <c r="AW26" s="9"/>
      <c r="AX26" s="9"/>
      <c r="AY26" s="9"/>
      <c r="BA26" s="9"/>
      <c r="BB26" s="9"/>
      <c r="BC26" s="9"/>
      <c r="BD26" s="9"/>
      <c r="BE26" s="9"/>
      <c r="BF26" s="9"/>
      <c r="BG26" s="9"/>
      <c r="BH26" s="9"/>
      <c r="BI26" s="9"/>
      <c r="BK26" s="9"/>
      <c r="BL26" s="9"/>
      <c r="BM26" s="9"/>
      <c r="BN26" s="9"/>
      <c r="BO26" s="9"/>
      <c r="BP26" s="9"/>
      <c r="BQ26" s="9"/>
      <c r="BR26" s="9"/>
      <c r="BS26" s="9"/>
    </row>
    <row r="27" spans="1:71" ht="46.9" customHeight="1" x14ac:dyDescent="0.25">
      <c r="A27" s="7"/>
      <c r="AP27" s="110"/>
      <c r="AQ27" s="9"/>
      <c r="AR27" s="9"/>
      <c r="AS27" s="9"/>
      <c r="AT27" s="9"/>
      <c r="AU27" s="9"/>
      <c r="AV27" s="9"/>
      <c r="AW27" s="9"/>
      <c r="AX27" s="9"/>
      <c r="AY27" s="9"/>
      <c r="BA27" s="9"/>
      <c r="BB27" s="9"/>
      <c r="BC27" s="9"/>
      <c r="BD27" s="9"/>
      <c r="BE27" s="9"/>
      <c r="BF27" s="9"/>
      <c r="BG27" s="9"/>
      <c r="BH27" s="9"/>
      <c r="BI27" s="9"/>
      <c r="BK27" s="9"/>
      <c r="BL27" s="9"/>
      <c r="BM27" s="9"/>
      <c r="BN27" s="9"/>
      <c r="BO27" s="9"/>
      <c r="BP27" s="9"/>
      <c r="BQ27" s="9"/>
      <c r="BR27" s="9"/>
      <c r="BS27" s="9"/>
    </row>
    <row r="28" spans="1:71" ht="46.9" customHeight="1" x14ac:dyDescent="0.25">
      <c r="A28" s="7"/>
      <c r="AP28" s="110"/>
      <c r="AQ28" s="9"/>
      <c r="AR28" s="9"/>
      <c r="AS28" s="9"/>
      <c r="AT28" s="9"/>
      <c r="AU28" s="9"/>
      <c r="AV28" s="9"/>
      <c r="AW28" s="9"/>
      <c r="AX28" s="9"/>
      <c r="AY28" s="9"/>
      <c r="BA28" s="9"/>
      <c r="BB28" s="9"/>
      <c r="BC28" s="9"/>
      <c r="BD28" s="9"/>
      <c r="BE28" s="9"/>
      <c r="BF28" s="9"/>
      <c r="BG28" s="9"/>
      <c r="BH28" s="9"/>
      <c r="BI28" s="9"/>
      <c r="BK28" s="9"/>
      <c r="BL28" s="9"/>
      <c r="BM28" s="9"/>
      <c r="BN28" s="9"/>
      <c r="BO28" s="9"/>
      <c r="BP28" s="9"/>
      <c r="BQ28" s="9"/>
      <c r="BR28" s="9"/>
      <c r="BS28" s="9"/>
    </row>
    <row r="29" spans="1:71" ht="46.9" customHeight="1" x14ac:dyDescent="0.25">
      <c r="A29" s="7"/>
      <c r="AP29" s="110"/>
      <c r="AQ29" s="9"/>
      <c r="AR29" s="9"/>
      <c r="AS29" s="9"/>
      <c r="AT29" s="9"/>
      <c r="AU29" s="9"/>
      <c r="AV29" s="9"/>
      <c r="AW29" s="9"/>
      <c r="AX29" s="9"/>
      <c r="AY29" s="9"/>
      <c r="BA29" s="9"/>
      <c r="BB29" s="9"/>
      <c r="BC29" s="9"/>
      <c r="BD29" s="9"/>
      <c r="BE29" s="9"/>
      <c r="BF29" s="9"/>
      <c r="BG29" s="9"/>
      <c r="BH29" s="9"/>
      <c r="BI29" s="9"/>
      <c r="BK29" s="9"/>
      <c r="BL29" s="9"/>
      <c r="BM29" s="9"/>
      <c r="BN29" s="9"/>
      <c r="BO29" s="9"/>
      <c r="BP29" s="9"/>
      <c r="BQ29" s="9"/>
      <c r="BR29" s="9"/>
      <c r="BS29" s="9"/>
    </row>
    <row r="30" spans="1:71" ht="46.9" customHeight="1" x14ac:dyDescent="0.25">
      <c r="A30" s="7"/>
      <c r="AP30" s="110"/>
      <c r="AQ30" s="9"/>
      <c r="AR30" s="9"/>
      <c r="AS30" s="9"/>
      <c r="AT30" s="9"/>
      <c r="AU30" s="9"/>
      <c r="AV30" s="9"/>
      <c r="AW30" s="9"/>
      <c r="AX30" s="9"/>
      <c r="AY30" s="9"/>
      <c r="BA30" s="9"/>
      <c r="BB30" s="9"/>
      <c r="BC30" s="9"/>
      <c r="BD30" s="9"/>
      <c r="BE30" s="9"/>
      <c r="BF30" s="9"/>
      <c r="BG30" s="9"/>
      <c r="BH30" s="9"/>
      <c r="BI30" s="9"/>
      <c r="BK30" s="9"/>
      <c r="BL30" s="9"/>
      <c r="BM30" s="9"/>
      <c r="BN30" s="9"/>
      <c r="BO30" s="9"/>
      <c r="BP30" s="9"/>
      <c r="BQ30" s="9"/>
      <c r="BR30" s="9"/>
      <c r="BS30" s="9"/>
    </row>
    <row r="31" spans="1:71" ht="46.9" customHeight="1" x14ac:dyDescent="0.25">
      <c r="A31" s="7"/>
      <c r="AQ31" s="9"/>
      <c r="AR31" s="9"/>
      <c r="AS31" s="9"/>
      <c r="AT31" s="9"/>
      <c r="AU31" s="9"/>
      <c r="AV31" s="9"/>
      <c r="AW31" s="9"/>
      <c r="AX31" s="9"/>
      <c r="AY31" s="9"/>
      <c r="BA31" s="9"/>
      <c r="BB31" s="9"/>
      <c r="BC31" s="9"/>
      <c r="BD31" s="9"/>
      <c r="BE31" s="9"/>
      <c r="BF31" s="9"/>
      <c r="BG31" s="9"/>
      <c r="BH31" s="9"/>
      <c r="BI31" s="9"/>
      <c r="BK31" s="9"/>
      <c r="BL31" s="9"/>
      <c r="BM31" s="9"/>
      <c r="BN31" s="9"/>
      <c r="BO31" s="9"/>
      <c r="BP31" s="9"/>
      <c r="BQ31" s="9"/>
      <c r="BR31" s="9"/>
      <c r="BS31" s="9"/>
    </row>
    <row r="32" spans="1:71" ht="46.9" customHeight="1" x14ac:dyDescent="0.25">
      <c r="A32" s="7"/>
      <c r="AQ32" s="9"/>
      <c r="AR32" s="9"/>
      <c r="AS32" s="9"/>
      <c r="AT32" s="9"/>
      <c r="AU32" s="9"/>
      <c r="AV32" s="9"/>
      <c r="AW32" s="9"/>
      <c r="AX32" s="9"/>
      <c r="AY32" s="9"/>
      <c r="BA32" s="9"/>
      <c r="BB32" s="9"/>
      <c r="BC32" s="9"/>
      <c r="BD32" s="9"/>
      <c r="BE32" s="9"/>
      <c r="BF32" s="9"/>
      <c r="BG32" s="9"/>
      <c r="BH32" s="9"/>
      <c r="BI32" s="9"/>
      <c r="BK32" s="9"/>
      <c r="BL32" s="9"/>
      <c r="BM32" s="9"/>
      <c r="BN32" s="9"/>
      <c r="BO32" s="9"/>
      <c r="BP32" s="9"/>
      <c r="BQ32" s="9"/>
      <c r="BR32" s="9"/>
      <c r="BS32" s="9"/>
    </row>
    <row r="33" spans="1:71" ht="46.9" customHeight="1" x14ac:dyDescent="0.25">
      <c r="A33" s="7"/>
      <c r="AQ33" s="9"/>
      <c r="AR33" s="9"/>
      <c r="AS33" s="9"/>
      <c r="AT33" s="9"/>
      <c r="AU33" s="9"/>
      <c r="AV33" s="9"/>
      <c r="AW33" s="9"/>
      <c r="AX33" s="9"/>
      <c r="AY33" s="9"/>
      <c r="BA33" s="9"/>
      <c r="BB33" s="9"/>
      <c r="BC33" s="9"/>
      <c r="BD33" s="9"/>
      <c r="BE33" s="9"/>
      <c r="BF33" s="9"/>
      <c r="BG33" s="9"/>
      <c r="BH33" s="9"/>
      <c r="BI33" s="9"/>
      <c r="BK33" s="9"/>
      <c r="BL33" s="9"/>
      <c r="BM33" s="9"/>
      <c r="BN33" s="9"/>
      <c r="BO33" s="9"/>
      <c r="BP33" s="9"/>
      <c r="BQ33" s="9"/>
      <c r="BR33" s="9"/>
      <c r="BS33" s="9"/>
    </row>
    <row r="34" spans="1:71" ht="46.9" customHeight="1" x14ac:dyDescent="0.25">
      <c r="A34" s="7"/>
      <c r="AP34" s="110"/>
      <c r="AQ34" s="9"/>
      <c r="AR34" s="9"/>
      <c r="AS34" s="9"/>
      <c r="AT34" s="9"/>
      <c r="AU34" s="9"/>
      <c r="AV34" s="9"/>
      <c r="AW34" s="9"/>
      <c r="AX34" s="9"/>
      <c r="AY34" s="9"/>
      <c r="BA34" s="9"/>
      <c r="BB34" s="9"/>
      <c r="BC34" s="9"/>
      <c r="BD34" s="9"/>
      <c r="BE34" s="9"/>
      <c r="BF34" s="9"/>
      <c r="BG34" s="9"/>
      <c r="BH34" s="9"/>
      <c r="BI34" s="9"/>
      <c r="BK34" s="9"/>
      <c r="BL34" s="9"/>
      <c r="BM34" s="9"/>
      <c r="BN34" s="9"/>
      <c r="BO34" s="9"/>
      <c r="BP34" s="9"/>
      <c r="BQ34" s="9"/>
      <c r="BR34" s="9"/>
      <c r="BS34" s="9"/>
    </row>
    <row r="35" spans="1:71" ht="46.9" customHeight="1" x14ac:dyDescent="0.25">
      <c r="A35" s="7"/>
      <c r="AP35" s="110"/>
      <c r="AQ35" s="9"/>
      <c r="AR35" s="9"/>
      <c r="AS35" s="9"/>
      <c r="AT35" s="9"/>
      <c r="AU35" s="9"/>
      <c r="AV35" s="9"/>
      <c r="AW35" s="9"/>
      <c r="AX35" s="9"/>
      <c r="AY35" s="9"/>
      <c r="BA35" s="9"/>
      <c r="BB35" s="9"/>
      <c r="BC35" s="9"/>
      <c r="BD35" s="9"/>
      <c r="BE35" s="9"/>
      <c r="BF35" s="9"/>
      <c r="BG35" s="9"/>
      <c r="BH35" s="9"/>
      <c r="BI35" s="9"/>
      <c r="BK35" s="9"/>
      <c r="BL35" s="9"/>
      <c r="BM35" s="9"/>
      <c r="BN35" s="9"/>
      <c r="BO35" s="9"/>
      <c r="BP35" s="9"/>
      <c r="BQ35" s="9"/>
      <c r="BR35" s="9"/>
      <c r="BS35" s="9"/>
    </row>
    <row r="36" spans="1:71" ht="46.9" customHeight="1" x14ac:dyDescent="0.25">
      <c r="A36" s="7"/>
      <c r="AP36" s="110"/>
      <c r="AQ36" s="9"/>
      <c r="AR36" s="9"/>
      <c r="AS36" s="9"/>
      <c r="AT36" s="9"/>
      <c r="AU36" s="9"/>
      <c r="AV36" s="9"/>
      <c r="AW36" s="9"/>
      <c r="AX36" s="9"/>
      <c r="AY36" s="9"/>
      <c r="BA36" s="9"/>
      <c r="BB36" s="9"/>
      <c r="BC36" s="9"/>
      <c r="BD36" s="9"/>
      <c r="BE36" s="9"/>
      <c r="BF36" s="9"/>
      <c r="BG36" s="9"/>
      <c r="BH36" s="9"/>
      <c r="BI36" s="9"/>
      <c r="BK36" s="9"/>
      <c r="BL36" s="9"/>
      <c r="BM36" s="9"/>
      <c r="BN36" s="9"/>
      <c r="BO36" s="9"/>
      <c r="BP36" s="9"/>
      <c r="BQ36" s="9"/>
      <c r="BR36" s="9"/>
      <c r="BS36" s="9"/>
    </row>
    <row r="37" spans="1:71" ht="46.9" customHeight="1" x14ac:dyDescent="0.25">
      <c r="A37" s="7"/>
      <c r="AP37" s="110"/>
      <c r="AQ37" s="9"/>
      <c r="AR37" s="9"/>
      <c r="AS37" s="9"/>
      <c r="AT37" s="9"/>
      <c r="AU37" s="9"/>
      <c r="AV37" s="9"/>
      <c r="AW37" s="9"/>
      <c r="AX37" s="9"/>
      <c r="AY37" s="9"/>
      <c r="BA37" s="9"/>
      <c r="BB37" s="9"/>
      <c r="BC37" s="9"/>
      <c r="BD37" s="9"/>
      <c r="BE37" s="9"/>
      <c r="BF37" s="9"/>
      <c r="BG37" s="9"/>
      <c r="BH37" s="9"/>
      <c r="BI37" s="9"/>
      <c r="BK37" s="9"/>
      <c r="BL37" s="9"/>
      <c r="BM37" s="9"/>
      <c r="BN37" s="9"/>
      <c r="BO37" s="9"/>
      <c r="BP37" s="9"/>
      <c r="BQ37" s="9"/>
      <c r="BR37" s="9"/>
      <c r="BS37" s="9"/>
    </row>
    <row r="38" spans="1:71" ht="46.9" customHeight="1" x14ac:dyDescent="0.25">
      <c r="A38" s="7"/>
      <c r="AP38" s="110"/>
      <c r="AQ38" s="9"/>
      <c r="AR38" s="9"/>
      <c r="AS38" s="9"/>
      <c r="AT38" s="9"/>
      <c r="AU38" s="9"/>
      <c r="AV38" s="9"/>
      <c r="AW38" s="9"/>
      <c r="AX38" s="9"/>
      <c r="AY38" s="9"/>
      <c r="BA38" s="9"/>
      <c r="BB38" s="9"/>
      <c r="BC38" s="9"/>
      <c r="BD38" s="9"/>
      <c r="BE38" s="9"/>
      <c r="BF38" s="9"/>
      <c r="BG38" s="9"/>
      <c r="BH38" s="9"/>
      <c r="BI38" s="9"/>
      <c r="BK38" s="9"/>
      <c r="BL38" s="9"/>
      <c r="BM38" s="9"/>
      <c r="BN38" s="9"/>
      <c r="BO38" s="9"/>
      <c r="BP38" s="9"/>
      <c r="BQ38" s="9"/>
      <c r="BR38" s="9"/>
      <c r="BS38" s="9"/>
    </row>
    <row r="39" spans="1:71" ht="46.9" customHeight="1" x14ac:dyDescent="0.25">
      <c r="A39" s="7"/>
      <c r="AP39" s="110"/>
      <c r="AQ39" s="9"/>
      <c r="AR39" s="9"/>
      <c r="AS39" s="9"/>
      <c r="AT39" s="9"/>
      <c r="AU39" s="9"/>
      <c r="AV39" s="9"/>
      <c r="AW39" s="9"/>
      <c r="AX39" s="9"/>
      <c r="AY39" s="9"/>
      <c r="BA39" s="9"/>
      <c r="BB39" s="9"/>
      <c r="BC39" s="9"/>
      <c r="BD39" s="9"/>
      <c r="BE39" s="9"/>
      <c r="BF39" s="9"/>
      <c r="BG39" s="9"/>
      <c r="BH39" s="9"/>
      <c r="BI39" s="9"/>
      <c r="BK39" s="9"/>
      <c r="BL39" s="9"/>
      <c r="BM39" s="9"/>
      <c r="BN39" s="9"/>
      <c r="BO39" s="9"/>
      <c r="BP39" s="9"/>
      <c r="BQ39" s="9"/>
      <c r="BR39" s="9"/>
      <c r="BS39" s="9"/>
    </row>
    <row r="40" spans="1:71" ht="46.9" customHeight="1" x14ac:dyDescent="0.25">
      <c r="A40" s="7"/>
      <c r="AP40" s="110"/>
      <c r="AQ40" s="9"/>
      <c r="AR40" s="9"/>
      <c r="AS40" s="9"/>
      <c r="AT40" s="9"/>
      <c r="AU40" s="9"/>
      <c r="AV40" s="9"/>
      <c r="AW40" s="9"/>
      <c r="AX40" s="9"/>
      <c r="AY40" s="9"/>
      <c r="BA40" s="9"/>
      <c r="BB40" s="9"/>
      <c r="BC40" s="9"/>
      <c r="BD40" s="9"/>
      <c r="BE40" s="9"/>
      <c r="BF40" s="9"/>
      <c r="BG40" s="9"/>
      <c r="BH40" s="9"/>
      <c r="BI40" s="9"/>
      <c r="BK40" s="9"/>
      <c r="BL40" s="9"/>
      <c r="BM40" s="9"/>
      <c r="BN40" s="9"/>
      <c r="BO40" s="9"/>
      <c r="BP40" s="9"/>
      <c r="BQ40" s="9"/>
      <c r="BR40" s="9"/>
      <c r="BS40" s="9"/>
    </row>
    <row r="41" spans="1:71" ht="46.9" customHeight="1" x14ac:dyDescent="0.25">
      <c r="A41" s="7"/>
      <c r="AP41" s="110"/>
      <c r="AQ41" s="9"/>
      <c r="AR41" s="9"/>
      <c r="AS41" s="9"/>
      <c r="AT41" s="9"/>
      <c r="AU41" s="9"/>
      <c r="AV41" s="9"/>
      <c r="AW41" s="9"/>
      <c r="AX41" s="9"/>
      <c r="AY41" s="9"/>
      <c r="BA41" s="9"/>
      <c r="BB41" s="9"/>
      <c r="BC41" s="9"/>
      <c r="BD41" s="9"/>
      <c r="BE41" s="9"/>
      <c r="BF41" s="9"/>
      <c r="BG41" s="9"/>
      <c r="BH41" s="9"/>
      <c r="BI41" s="9"/>
      <c r="BK41" s="9"/>
      <c r="BL41" s="9"/>
      <c r="BM41" s="9"/>
      <c r="BN41" s="9"/>
      <c r="BO41" s="9"/>
      <c r="BP41" s="9"/>
      <c r="BQ41" s="9"/>
      <c r="BR41" s="9"/>
      <c r="BS41" s="9"/>
    </row>
    <row r="42" spans="1:71" ht="46.9" customHeight="1" x14ac:dyDescent="0.25">
      <c r="A42" s="7"/>
      <c r="AP42" s="110"/>
      <c r="AQ42" s="9"/>
      <c r="AR42" s="9"/>
      <c r="AS42" s="9"/>
      <c r="AT42" s="9"/>
      <c r="AU42" s="9"/>
      <c r="AV42" s="9"/>
      <c r="AW42" s="9"/>
      <c r="AX42" s="9"/>
      <c r="AY42" s="9"/>
      <c r="BA42" s="9"/>
      <c r="BB42" s="9"/>
      <c r="BC42" s="9"/>
      <c r="BD42" s="9"/>
      <c r="BE42" s="9"/>
      <c r="BF42" s="9"/>
      <c r="BG42" s="9"/>
      <c r="BH42" s="9"/>
      <c r="BI42" s="9"/>
      <c r="BK42" s="9"/>
      <c r="BL42" s="9"/>
      <c r="BM42" s="9"/>
      <c r="BN42" s="9"/>
      <c r="BO42" s="9"/>
      <c r="BP42" s="9"/>
      <c r="BQ42" s="9"/>
      <c r="BR42" s="9"/>
      <c r="BS42" s="9"/>
    </row>
    <row r="43" spans="1:71" ht="46.9" customHeight="1" x14ac:dyDescent="0.25">
      <c r="A43" s="7"/>
      <c r="AP43" s="110"/>
      <c r="AQ43" s="9"/>
      <c r="AR43" s="9"/>
      <c r="AS43" s="9"/>
      <c r="AT43" s="9"/>
      <c r="AU43" s="9"/>
      <c r="AV43" s="9"/>
      <c r="AW43" s="9"/>
      <c r="AX43" s="9"/>
      <c r="AY43" s="9"/>
      <c r="BA43" s="9"/>
      <c r="BB43" s="9"/>
      <c r="BC43" s="9"/>
      <c r="BD43" s="9"/>
      <c r="BE43" s="9"/>
      <c r="BF43" s="9"/>
      <c r="BG43" s="9"/>
      <c r="BH43" s="9"/>
      <c r="BI43" s="9"/>
      <c r="BK43" s="9"/>
      <c r="BL43" s="9"/>
      <c r="BM43" s="9"/>
      <c r="BN43" s="9"/>
      <c r="BO43" s="9"/>
      <c r="BP43" s="9"/>
      <c r="BQ43" s="9"/>
      <c r="BR43" s="9"/>
      <c r="BS43" s="9"/>
    </row>
    <row r="44" spans="1:71" ht="46.9" customHeight="1" x14ac:dyDescent="0.25">
      <c r="A44" s="7"/>
      <c r="AQ44" s="9"/>
      <c r="AR44" s="9"/>
      <c r="AS44" s="9"/>
      <c r="AT44" s="9"/>
      <c r="AU44" s="9"/>
      <c r="AV44" s="9"/>
      <c r="AW44" s="9"/>
      <c r="AX44" s="9"/>
      <c r="AY44" s="9"/>
      <c r="BA44" s="9"/>
      <c r="BB44" s="9"/>
      <c r="BC44" s="9"/>
      <c r="BD44" s="9"/>
      <c r="BE44" s="9"/>
      <c r="BF44" s="9"/>
      <c r="BG44" s="9"/>
      <c r="BH44" s="9"/>
      <c r="BI44" s="9"/>
      <c r="BK44" s="9"/>
      <c r="BL44" s="9"/>
      <c r="BM44" s="9"/>
      <c r="BN44" s="9"/>
      <c r="BO44" s="9"/>
      <c r="BP44" s="9"/>
      <c r="BQ44" s="9"/>
      <c r="BR44" s="9"/>
      <c r="BS44" s="9"/>
    </row>
    <row r="45" spans="1:71" ht="46.9" customHeight="1" x14ac:dyDescent="0.25">
      <c r="A45" s="7"/>
      <c r="AQ45" s="9"/>
      <c r="AR45" s="9"/>
      <c r="AS45" s="9"/>
      <c r="AT45" s="9"/>
      <c r="AU45" s="9"/>
      <c r="AV45" s="9"/>
      <c r="AW45" s="9"/>
      <c r="AX45" s="9"/>
      <c r="AY45" s="9"/>
      <c r="BA45" s="9"/>
      <c r="BB45" s="9"/>
      <c r="BC45" s="9"/>
      <c r="BD45" s="9"/>
      <c r="BE45" s="9"/>
      <c r="BF45" s="9"/>
      <c r="BG45" s="9"/>
      <c r="BH45" s="9"/>
      <c r="BI45" s="9"/>
      <c r="BK45" s="9"/>
      <c r="BL45" s="9"/>
      <c r="BM45" s="9"/>
      <c r="BN45" s="9"/>
      <c r="BO45" s="9"/>
      <c r="BP45" s="9"/>
      <c r="BQ45" s="9"/>
      <c r="BR45" s="9"/>
      <c r="BS45" s="9"/>
    </row>
    <row r="46" spans="1:71" ht="46.9" customHeight="1" x14ac:dyDescent="0.25">
      <c r="A46" s="7"/>
      <c r="AQ46" s="9"/>
      <c r="AR46" s="9"/>
      <c r="AS46" s="9"/>
      <c r="AT46" s="9"/>
      <c r="AU46" s="9"/>
      <c r="AV46" s="9"/>
      <c r="AW46" s="9"/>
      <c r="AX46" s="9"/>
      <c r="AY46" s="9"/>
      <c r="BA46" s="9"/>
      <c r="BB46" s="9"/>
      <c r="BC46" s="9"/>
      <c r="BD46" s="9"/>
      <c r="BE46" s="9"/>
      <c r="BF46" s="9"/>
      <c r="BG46" s="9"/>
      <c r="BH46" s="9"/>
      <c r="BI46" s="9"/>
      <c r="BK46" s="9"/>
      <c r="BL46" s="9"/>
      <c r="BM46" s="9"/>
      <c r="BN46" s="9"/>
      <c r="BO46" s="9"/>
      <c r="BP46" s="9"/>
      <c r="BQ46" s="9"/>
      <c r="BR46" s="9"/>
      <c r="BS46" s="9"/>
    </row>
    <row r="47" spans="1:71" ht="46.9" customHeight="1" x14ac:dyDescent="0.25">
      <c r="A47" s="7"/>
      <c r="AQ47" s="9"/>
      <c r="AR47" s="9"/>
      <c r="AS47" s="9"/>
      <c r="AT47" s="9"/>
      <c r="AU47" s="9"/>
      <c r="AV47" s="9"/>
      <c r="AW47" s="9"/>
      <c r="AX47" s="9"/>
      <c r="AY47" s="9"/>
      <c r="BA47" s="9"/>
      <c r="BB47" s="9"/>
      <c r="BC47" s="9"/>
      <c r="BD47" s="9"/>
      <c r="BE47" s="9"/>
      <c r="BF47" s="9"/>
      <c r="BG47" s="9"/>
      <c r="BH47" s="9"/>
      <c r="BI47" s="9"/>
      <c r="BK47" s="9"/>
      <c r="BL47" s="9"/>
      <c r="BM47" s="9"/>
      <c r="BN47" s="9"/>
      <c r="BO47" s="9"/>
      <c r="BP47" s="9"/>
      <c r="BQ47" s="9"/>
      <c r="BR47" s="9"/>
      <c r="BS47" s="9"/>
    </row>
    <row r="48" spans="1:71" ht="46.9" customHeight="1" x14ac:dyDescent="0.25">
      <c r="A48" s="7"/>
      <c r="AP48" s="95"/>
      <c r="AQ48" s="9"/>
      <c r="AR48" s="9"/>
      <c r="AS48" s="9"/>
      <c r="AT48" s="9"/>
      <c r="AU48" s="9"/>
      <c r="AV48" s="9"/>
      <c r="AW48" s="9"/>
      <c r="AX48" s="9"/>
      <c r="AY48" s="9"/>
      <c r="BA48" s="9"/>
      <c r="BB48" s="9"/>
      <c r="BC48" s="9"/>
      <c r="BD48" s="9"/>
      <c r="BE48" s="9"/>
      <c r="BF48" s="9"/>
      <c r="BG48" s="9"/>
      <c r="BH48" s="9"/>
      <c r="BI48" s="9"/>
      <c r="BK48" s="9"/>
      <c r="BL48" s="9"/>
      <c r="BM48" s="9"/>
      <c r="BN48" s="9"/>
      <c r="BO48" s="9"/>
      <c r="BP48" s="9"/>
      <c r="BQ48" s="9"/>
      <c r="BR48" s="9"/>
      <c r="BS48" s="9"/>
    </row>
    <row r="49" spans="1:71" ht="46.9" customHeight="1" x14ac:dyDescent="0.25">
      <c r="A49" s="7"/>
      <c r="AP49" s="95"/>
      <c r="AQ49" s="9"/>
      <c r="AR49" s="9"/>
      <c r="AS49" s="9"/>
      <c r="AT49" s="9"/>
      <c r="AU49" s="9"/>
      <c r="AV49" s="9"/>
      <c r="AW49" s="9"/>
      <c r="AX49" s="9"/>
      <c r="AY49" s="9"/>
      <c r="BA49" s="9"/>
      <c r="BB49" s="9"/>
      <c r="BC49" s="9"/>
      <c r="BD49" s="9"/>
      <c r="BE49" s="9"/>
      <c r="BF49" s="9"/>
      <c r="BG49" s="9"/>
      <c r="BH49" s="9"/>
      <c r="BI49" s="9"/>
      <c r="BK49" s="9"/>
      <c r="BL49" s="9"/>
      <c r="BM49" s="9"/>
      <c r="BN49" s="9"/>
      <c r="BO49" s="9"/>
      <c r="BP49" s="9"/>
      <c r="BQ49" s="9"/>
      <c r="BR49" s="9"/>
      <c r="BS49" s="9"/>
    </row>
    <row r="50" spans="1:71" ht="46.9" customHeight="1" x14ac:dyDescent="0.25">
      <c r="A50" s="7"/>
      <c r="AP50" s="95"/>
      <c r="AQ50" s="9"/>
      <c r="AR50" s="9"/>
      <c r="AS50" s="9"/>
      <c r="AT50" s="9"/>
      <c r="AU50" s="9"/>
      <c r="AV50" s="9"/>
      <c r="AW50" s="9"/>
      <c r="AX50" s="9"/>
      <c r="AY50" s="9"/>
      <c r="BA50" s="9"/>
      <c r="BB50" s="9"/>
      <c r="BC50" s="9"/>
      <c r="BD50" s="9"/>
      <c r="BE50" s="9"/>
      <c r="BF50" s="9"/>
      <c r="BG50" s="9"/>
      <c r="BH50" s="9"/>
      <c r="BI50" s="9"/>
      <c r="BK50" s="9"/>
      <c r="BL50" s="9"/>
      <c r="BM50" s="9"/>
      <c r="BN50" s="9"/>
      <c r="BO50" s="9"/>
      <c r="BP50" s="9"/>
      <c r="BQ50" s="9"/>
      <c r="BR50" s="9"/>
      <c r="BS50" s="9"/>
    </row>
    <row r="51" spans="1:71" ht="46.9" customHeight="1" x14ac:dyDescent="0.25">
      <c r="A51" s="7"/>
      <c r="AP51" s="95"/>
      <c r="AQ51" s="9"/>
      <c r="AR51" s="9"/>
      <c r="AS51" s="9"/>
      <c r="AT51" s="9"/>
      <c r="AU51" s="9"/>
      <c r="AV51" s="9"/>
      <c r="AW51" s="9"/>
      <c r="AX51" s="9"/>
      <c r="AY51" s="9"/>
      <c r="BA51" s="9"/>
      <c r="BB51" s="9"/>
      <c r="BC51" s="9"/>
      <c r="BD51" s="9"/>
      <c r="BE51" s="9"/>
      <c r="BF51" s="9"/>
      <c r="BG51" s="9"/>
      <c r="BH51" s="9"/>
      <c r="BI51" s="9"/>
      <c r="BK51" s="9"/>
      <c r="BL51" s="9"/>
      <c r="BM51" s="9"/>
      <c r="BN51" s="9"/>
      <c r="BO51" s="9"/>
      <c r="BP51" s="9"/>
      <c r="BQ51" s="9"/>
      <c r="BR51" s="9"/>
      <c r="BS51" s="9"/>
    </row>
    <row r="52" spans="1:71" ht="46.9" customHeight="1" x14ac:dyDescent="0.25">
      <c r="A52" s="7"/>
      <c r="AP52" s="95"/>
      <c r="AQ52" s="9"/>
      <c r="AR52" s="9"/>
      <c r="AS52" s="9"/>
      <c r="AT52" s="9"/>
      <c r="AU52" s="9"/>
      <c r="AV52" s="9"/>
      <c r="AW52" s="9"/>
      <c r="AX52" s="9"/>
      <c r="AY52" s="9"/>
      <c r="BA52" s="9"/>
      <c r="BB52" s="9"/>
      <c r="BC52" s="9"/>
      <c r="BD52" s="9"/>
      <c r="BE52" s="9"/>
      <c r="BF52" s="9"/>
      <c r="BG52" s="9"/>
      <c r="BH52" s="9"/>
      <c r="BI52" s="9"/>
      <c r="BK52" s="9"/>
      <c r="BL52" s="9"/>
      <c r="BM52" s="9"/>
      <c r="BN52" s="9"/>
      <c r="BO52" s="9"/>
      <c r="BP52" s="9"/>
      <c r="BQ52" s="9"/>
      <c r="BR52" s="9"/>
      <c r="BS52" s="9"/>
    </row>
    <row r="53" spans="1:71" ht="46.9" customHeight="1" x14ac:dyDescent="0.25">
      <c r="A53" s="7"/>
      <c r="AP53" s="95"/>
      <c r="AQ53" s="9"/>
      <c r="AR53" s="9"/>
      <c r="AS53" s="9"/>
      <c r="AT53" s="9"/>
      <c r="AU53" s="9"/>
      <c r="AV53" s="9"/>
      <c r="AW53" s="9"/>
      <c r="AX53" s="9"/>
      <c r="AY53" s="9"/>
      <c r="BA53" s="9"/>
      <c r="BB53" s="9"/>
      <c r="BC53" s="9"/>
      <c r="BD53" s="9"/>
      <c r="BE53" s="9"/>
      <c r="BF53" s="9"/>
      <c r="BG53" s="9"/>
      <c r="BH53" s="9"/>
      <c r="BI53" s="9"/>
      <c r="BK53" s="9"/>
      <c r="BL53" s="9"/>
      <c r="BM53" s="9"/>
      <c r="BN53" s="9"/>
      <c r="BO53" s="9"/>
      <c r="BP53" s="9"/>
      <c r="BQ53" s="9"/>
      <c r="BR53" s="9"/>
      <c r="BS53" s="9"/>
    </row>
    <row r="54" spans="1:71" ht="46.9" customHeight="1" x14ac:dyDescent="0.25">
      <c r="AP54" s="95"/>
      <c r="AQ54" s="9"/>
      <c r="AR54" s="9"/>
      <c r="AS54" s="9"/>
      <c r="AT54" s="9"/>
      <c r="AU54" s="9"/>
      <c r="AV54" s="9"/>
      <c r="AW54" s="9"/>
      <c r="AX54" s="9"/>
      <c r="AY54" s="9"/>
      <c r="BA54" s="9"/>
      <c r="BB54" s="9"/>
      <c r="BC54" s="9"/>
      <c r="BD54" s="9"/>
      <c r="BE54" s="9"/>
      <c r="BF54" s="9"/>
      <c r="BG54" s="9"/>
      <c r="BH54" s="9"/>
      <c r="BI54" s="9"/>
      <c r="BK54" s="9"/>
      <c r="BL54" s="9"/>
      <c r="BM54" s="9"/>
      <c r="BN54" s="9"/>
      <c r="BO54" s="9"/>
      <c r="BP54" s="9"/>
      <c r="BQ54" s="9"/>
      <c r="BR54" s="9"/>
      <c r="BS54" s="9"/>
    </row>
    <row r="55" spans="1:71" ht="46.9" customHeight="1" x14ac:dyDescent="0.25">
      <c r="AQ55" s="9"/>
      <c r="AR55" s="9"/>
      <c r="AS55" s="9"/>
      <c r="AT55" s="9"/>
      <c r="AU55" s="9"/>
      <c r="AV55" s="9"/>
      <c r="AW55" s="9"/>
      <c r="AX55" s="9"/>
      <c r="AY55" s="9"/>
      <c r="BA55" s="9"/>
      <c r="BB55" s="9"/>
      <c r="BC55" s="9"/>
      <c r="BD55" s="9"/>
      <c r="BE55" s="9"/>
      <c r="BF55" s="9"/>
      <c r="BG55" s="9"/>
      <c r="BH55" s="9"/>
      <c r="BI55" s="9"/>
      <c r="BK55" s="9"/>
      <c r="BL55" s="9"/>
      <c r="BM55" s="9"/>
      <c r="BN55" s="9"/>
      <c r="BO55" s="9"/>
      <c r="BP55" s="9"/>
      <c r="BQ55" s="9"/>
      <c r="BR55" s="9"/>
      <c r="BS55" s="9"/>
    </row>
    <row r="56" spans="1:71" ht="46.9" customHeight="1" x14ac:dyDescent="0.25">
      <c r="AQ56" s="9"/>
      <c r="AR56" s="9"/>
      <c r="AS56" s="9"/>
      <c r="AT56" s="9"/>
      <c r="AU56" s="9"/>
      <c r="AV56" s="9"/>
      <c r="AW56" s="9"/>
      <c r="AX56" s="9"/>
      <c r="AY56" s="9"/>
      <c r="BA56" s="9"/>
      <c r="BB56" s="9"/>
      <c r="BC56" s="9"/>
      <c r="BD56" s="9"/>
      <c r="BE56" s="9"/>
      <c r="BF56" s="9"/>
      <c r="BG56" s="9"/>
      <c r="BH56" s="9"/>
      <c r="BI56" s="9"/>
      <c r="BK56" s="9"/>
      <c r="BL56" s="9"/>
      <c r="BM56" s="9"/>
      <c r="BN56" s="9"/>
      <c r="BO56" s="9"/>
      <c r="BP56" s="9"/>
      <c r="BQ56" s="9"/>
      <c r="BR56" s="9"/>
      <c r="BS56" s="9"/>
    </row>
    <row r="57" spans="1:71" ht="46.9" customHeight="1" x14ac:dyDescent="0.25">
      <c r="AQ57" s="9"/>
      <c r="AR57" s="9"/>
      <c r="AS57" s="9"/>
      <c r="AT57" s="9"/>
      <c r="AU57" s="9"/>
      <c r="AV57" s="9"/>
      <c r="AW57" s="9"/>
      <c r="AX57" s="9"/>
      <c r="AY57" s="9"/>
      <c r="BA57" s="9"/>
      <c r="BB57" s="9"/>
      <c r="BC57" s="9"/>
      <c r="BD57" s="9"/>
      <c r="BE57" s="9"/>
      <c r="BF57" s="9"/>
      <c r="BG57" s="9"/>
      <c r="BH57" s="9"/>
      <c r="BI57" s="9"/>
      <c r="BK57" s="9"/>
      <c r="BL57" s="9"/>
      <c r="BM57" s="9"/>
      <c r="BN57" s="9"/>
      <c r="BO57" s="9"/>
      <c r="BP57" s="9"/>
      <c r="BQ57" s="9"/>
      <c r="BR57" s="9"/>
      <c r="BS57" s="9"/>
    </row>
    <row r="58" spans="1:71" ht="46.9" customHeight="1" x14ac:dyDescent="0.25">
      <c r="AQ58" s="9"/>
      <c r="AR58" s="9"/>
      <c r="AS58" s="9"/>
      <c r="AT58" s="9"/>
      <c r="AU58" s="9"/>
      <c r="AV58" s="9"/>
      <c r="AW58" s="9"/>
      <c r="AX58" s="9"/>
      <c r="AY58" s="9"/>
      <c r="BA58" s="9"/>
      <c r="BB58" s="9"/>
      <c r="BC58" s="9"/>
      <c r="BD58" s="9"/>
      <c r="BE58" s="9"/>
      <c r="BF58" s="9"/>
      <c r="BG58" s="9"/>
      <c r="BH58" s="9"/>
      <c r="BI58" s="9"/>
      <c r="BK58" s="9"/>
      <c r="BL58" s="9"/>
      <c r="BM58" s="9"/>
      <c r="BN58" s="9"/>
      <c r="BO58" s="9"/>
      <c r="BP58" s="9"/>
      <c r="BQ58" s="9"/>
      <c r="BR58" s="9"/>
      <c r="BS58" s="9"/>
    </row>
    <row r="59" spans="1:71" ht="46.9" customHeight="1" x14ac:dyDescent="0.25">
      <c r="AQ59" s="9"/>
      <c r="AR59" s="9"/>
      <c r="AS59" s="9"/>
      <c r="AT59" s="9"/>
      <c r="AU59" s="9"/>
      <c r="AV59" s="9"/>
      <c r="AW59" s="9"/>
      <c r="AX59" s="9"/>
      <c r="AY59" s="9"/>
      <c r="BA59" s="9"/>
      <c r="BB59" s="9"/>
      <c r="BC59" s="9"/>
      <c r="BD59" s="9"/>
      <c r="BE59" s="9"/>
      <c r="BF59" s="9"/>
      <c r="BG59" s="9"/>
      <c r="BH59" s="9"/>
      <c r="BI59" s="9"/>
      <c r="BK59" s="9"/>
      <c r="BL59" s="9"/>
      <c r="BM59" s="9"/>
      <c r="BN59" s="9"/>
      <c r="BO59" s="9"/>
      <c r="BP59" s="9"/>
      <c r="BQ59" s="9"/>
      <c r="BR59" s="9"/>
      <c r="BS59" s="9"/>
    </row>
    <row r="60" spans="1:71" ht="46.9" customHeight="1" x14ac:dyDescent="0.25">
      <c r="AQ60" s="9"/>
      <c r="AR60" s="9"/>
      <c r="AS60" s="9"/>
      <c r="AT60" s="9"/>
      <c r="AU60" s="9"/>
      <c r="AV60" s="9"/>
      <c r="AW60" s="9"/>
      <c r="AX60" s="9"/>
      <c r="AY60" s="9"/>
      <c r="BA60" s="9"/>
      <c r="BB60" s="9"/>
      <c r="BC60" s="9"/>
      <c r="BD60" s="9"/>
      <c r="BE60" s="9"/>
      <c r="BF60" s="9"/>
      <c r="BG60" s="9"/>
      <c r="BH60" s="9"/>
      <c r="BI60" s="9"/>
      <c r="BK60" s="9"/>
      <c r="BL60" s="9"/>
      <c r="BM60" s="9"/>
      <c r="BN60" s="9"/>
      <c r="BO60" s="9"/>
      <c r="BP60" s="9"/>
      <c r="BQ60" s="9"/>
      <c r="BR60" s="9"/>
      <c r="BS60" s="9"/>
    </row>
  </sheetData>
  <mergeCells count="19">
    <mergeCell ref="A2:K2"/>
    <mergeCell ref="A3:K3"/>
    <mergeCell ref="A4:K4"/>
    <mergeCell ref="A8:B8"/>
    <mergeCell ref="A6:A7"/>
    <mergeCell ref="B6:B7"/>
    <mergeCell ref="C6:C7"/>
    <mergeCell ref="D6:D7"/>
    <mergeCell ref="A5:K5"/>
    <mergeCell ref="F6:G6"/>
    <mergeCell ref="H6:H7"/>
    <mergeCell ref="I6:K6"/>
    <mergeCell ref="E6:E7"/>
    <mergeCell ref="BK6:BS6"/>
    <mergeCell ref="M6:U6"/>
    <mergeCell ref="W6:AE6"/>
    <mergeCell ref="AG6:AO6"/>
    <mergeCell ref="AQ6:AY6"/>
    <mergeCell ref="BA6:BI6"/>
  </mergeCells>
  <pageMargins left="0.7" right="0.7" top="0.75" bottom="0.75" header="0.3" footer="0.3"/>
  <pageSetup orientation="portrait" horizontalDpi="1200" verticalDpi="1200" r:id="rId1"/>
  <ignoredErrors>
    <ignoredError sqref="AD13:A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 permbledhese</vt:lpstr>
      <vt:lpstr>Politika 1</vt:lpstr>
      <vt:lpstr>Politika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Oriana Arapi</dc:creator>
  <cp:lastModifiedBy>Etleva Sheshi</cp:lastModifiedBy>
  <cp:lastPrinted>2019-07-30T11:57:58Z</cp:lastPrinted>
  <dcterms:created xsi:type="dcterms:W3CDTF">2019-02-21T16:54:35Z</dcterms:created>
  <dcterms:modified xsi:type="dcterms:W3CDTF">2025-04-03T07:50:14Z</dcterms:modified>
</cp:coreProperties>
</file>